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EXANDRE\2025\LIXO\"/>
    </mc:Choice>
  </mc:AlternateContent>
  <xr:revisionPtr revIDLastSave="0" documentId="13_ncr:1_{84222F63-B20E-4C78-BC20-25B3FEAEEBB9}" xr6:coauthVersionLast="47" xr6:coauthVersionMax="47" xr10:uidLastSave="{00000000-0000-0000-0000-000000000000}"/>
  <bookViews>
    <workbookView xWindow="-120" yWindow="-120" windowWidth="29040" windowHeight="15720" firstSheet="5" activeTab="17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  <sheet name="Table 13" sheetId="20" r:id="rId13"/>
    <sheet name="Table 14" sheetId="14" r:id="rId14"/>
    <sheet name="Table 15" sheetId="15" r:id="rId15"/>
    <sheet name="Table 16" sheetId="16" r:id="rId16"/>
    <sheet name="Table 17" sheetId="17" r:id="rId17"/>
    <sheet name="Table 18" sheetId="18" r:id="rId18"/>
  </sheets>
  <calcPr calcId="191029"/>
</workbook>
</file>

<file path=xl/calcChain.xml><?xml version="1.0" encoding="utf-8"?>
<calcChain xmlns="http://schemas.openxmlformats.org/spreadsheetml/2006/main">
  <c r="D10" i="14" l="1"/>
  <c r="E9" i="14"/>
  <c r="B21" i="1"/>
  <c r="B20" i="1"/>
  <c r="E9" i="11"/>
  <c r="D10" i="11" s="1"/>
  <c r="D21" i="9"/>
  <c r="F21" i="9" s="1"/>
  <c r="F22" i="9" s="1"/>
  <c r="D21" i="10"/>
  <c r="F21" i="10" s="1"/>
  <c r="F22" i="10" s="1"/>
  <c r="F19" i="10"/>
  <c r="E18" i="10"/>
  <c r="D18" i="10"/>
  <c r="E15" i="8"/>
  <c r="D18" i="7"/>
  <c r="E17" i="7"/>
  <c r="E14" i="8"/>
  <c r="E13" i="8"/>
  <c r="E15" i="7"/>
  <c r="E13" i="4"/>
  <c r="E12" i="4"/>
  <c r="E13" i="3"/>
  <c r="E12" i="3"/>
  <c r="D8" i="4"/>
  <c r="E8" i="4" s="1"/>
  <c r="D8" i="3"/>
  <c r="E8" i="3" s="1"/>
  <c r="E12" i="10"/>
  <c r="E7" i="3"/>
  <c r="F10" i="15" l="1"/>
  <c r="E9" i="15"/>
  <c r="E8" i="15"/>
  <c r="E7" i="15"/>
  <c r="F8" i="20"/>
  <c r="E7" i="20"/>
  <c r="E16" i="12"/>
  <c r="E14" i="12"/>
  <c r="E12" i="12"/>
  <c r="E10" i="12"/>
  <c r="B24" i="1" l="1"/>
  <c r="C7" i="20"/>
  <c r="B26" i="1" l="1"/>
  <c r="B15" i="1"/>
  <c r="E9" i="16"/>
  <c r="D10" i="16" s="1"/>
  <c r="E10" i="16" s="1"/>
  <c r="E8" i="16"/>
  <c r="E7" i="16"/>
  <c r="E10" i="14"/>
  <c r="D11" i="14" s="1"/>
  <c r="E11" i="14" s="1"/>
  <c r="F12" i="14" s="1"/>
  <c r="F11" i="16" l="1"/>
  <c r="E7" i="14"/>
  <c r="D8" i="12"/>
  <c r="D17" i="12" s="1"/>
  <c r="E7" i="11"/>
  <c r="E10" i="11" s="1"/>
  <c r="F11" i="11" s="1"/>
  <c r="B22" i="1" s="1"/>
  <c r="D12" i="10"/>
  <c r="D7" i="10"/>
  <c r="E7" i="10" s="1"/>
  <c r="E12" i="9"/>
  <c r="D15" i="9" s="1"/>
  <c r="E15" i="9" s="1"/>
  <c r="D16" i="9" s="1"/>
  <c r="E16" i="9" s="1"/>
  <c r="E7" i="9"/>
  <c r="D10" i="9" s="1"/>
  <c r="E10" i="9" s="1"/>
  <c r="D11" i="9" s="1"/>
  <c r="E11" i="9" s="1"/>
  <c r="E8" i="8"/>
  <c r="E9" i="8"/>
  <c r="E10" i="8"/>
  <c r="E11" i="8"/>
  <c r="E12" i="8"/>
  <c r="E7" i="8"/>
  <c r="D16" i="8" l="1"/>
  <c r="E16" i="8" s="1"/>
  <c r="F17" i="8" s="1"/>
  <c r="B27" i="1"/>
  <c r="E17" i="9"/>
  <c r="D18" i="9" s="1"/>
  <c r="E18" i="9" s="1"/>
  <c r="F19" i="9" s="1"/>
  <c r="E8" i="7"/>
  <c r="E9" i="7"/>
  <c r="E10" i="7"/>
  <c r="E11" i="7"/>
  <c r="E12" i="7"/>
  <c r="E13" i="7"/>
  <c r="E14" i="7"/>
  <c r="E16" i="7"/>
  <c r="E7" i="7"/>
  <c r="E9" i="6"/>
  <c r="E8" i="6"/>
  <c r="F10" i="5"/>
  <c r="E9" i="5"/>
  <c r="E8" i="5"/>
  <c r="D11" i="4"/>
  <c r="E11" i="4" s="1"/>
  <c r="E7" i="4"/>
  <c r="E8" i="12"/>
  <c r="F18" i="12" s="1"/>
  <c r="B23" i="1" s="1"/>
  <c r="E18" i="7" l="1"/>
  <c r="F19" i="7" s="1"/>
  <c r="B17" i="1" s="1"/>
  <c r="F10" i="6"/>
  <c r="B16" i="1" s="1"/>
  <c r="D14" i="4" l="1"/>
  <c r="E14" i="4" s="1"/>
  <c r="E15" i="4" s="1"/>
  <c r="D16" i="4" s="1"/>
  <c r="E16" i="4" s="1"/>
  <c r="F17" i="4" s="1"/>
  <c r="B13" i="1" s="1"/>
  <c r="E11" i="3"/>
  <c r="D14" i="3" l="1"/>
  <c r="E15" i="3" s="1"/>
  <c r="D16" i="3" s="1"/>
  <c r="E16" i="3" s="1"/>
  <c r="F17" i="3" s="1"/>
  <c r="B11" i="1" l="1"/>
  <c r="B10" i="1" s="1"/>
  <c r="B8" i="17" l="1"/>
  <c r="D7" i="18" s="1"/>
  <c r="B25" i="1"/>
  <c r="B19" i="1" s="1"/>
  <c r="B18" i="1" l="1"/>
  <c r="F8" i="18"/>
  <c r="B12" i="18" s="1"/>
  <c r="E7" i="18"/>
  <c r="B10" i="18" s="1"/>
  <c r="B28" i="1" s="1"/>
  <c r="B29" i="1" l="1"/>
  <c r="C27" i="1" l="1"/>
  <c r="C16" i="1"/>
  <c r="C22" i="1"/>
  <c r="C20" i="1"/>
  <c r="C21" i="1"/>
  <c r="C26" i="1"/>
  <c r="C11" i="1"/>
  <c r="C29" i="1"/>
  <c r="C10" i="1"/>
  <c r="C13" i="1"/>
  <c r="C12" i="1"/>
  <c r="C14" i="1"/>
  <c r="C15" i="1"/>
  <c r="C23" i="1"/>
  <c r="C17" i="1"/>
  <c r="C24" i="1"/>
  <c r="C19" i="1"/>
  <c r="C25" i="1"/>
  <c r="C18" i="1"/>
  <c r="C28" i="1"/>
</calcChain>
</file>

<file path=xl/sharedStrings.xml><?xml version="1.0" encoding="utf-8"?>
<sst xmlns="http://schemas.openxmlformats.org/spreadsheetml/2006/main" count="496" uniqueCount="193">
  <si>
    <r>
      <rPr>
        <b/>
        <sz val="10.5"/>
        <rFont val="Arial"/>
        <family val="2"/>
      </rPr>
      <t xml:space="preserve">1. Coleta de Resíduos Sólidos - Anual
</t>
    </r>
    <r>
      <rPr>
        <b/>
        <sz val="8.5"/>
        <rFont val="Arial"/>
        <family val="2"/>
      </rPr>
      <t>Planilha de Composição de Custos</t>
    </r>
  </si>
  <si>
    <r>
      <rPr>
        <b/>
        <sz val="9"/>
        <rFont val="Arial"/>
        <family val="2"/>
      </rPr>
      <t>Orçamento Sintético</t>
    </r>
  </si>
  <si>
    <r>
      <rPr>
        <b/>
        <sz val="7.5"/>
        <rFont val="Arial"/>
        <family val="2"/>
      </rPr>
      <t>Descrição do Item</t>
    </r>
  </si>
  <si>
    <r>
      <rPr>
        <b/>
        <sz val="7.5"/>
        <rFont val="Arial"/>
        <family val="2"/>
      </rPr>
      <t>Custo (R$/mês)</t>
    </r>
  </si>
  <si>
    <r>
      <rPr>
        <b/>
        <sz val="7.5"/>
        <rFont val="Arial"/>
        <family val="2"/>
      </rPr>
      <t>%</t>
    </r>
  </si>
  <si>
    <r>
      <rPr>
        <b/>
        <sz val="7.5"/>
        <rFont val="Arial"/>
        <family val="2"/>
      </rPr>
      <t>1. Mão-de-obra</t>
    </r>
  </si>
  <si>
    <r>
      <rPr>
        <sz val="7.5"/>
        <rFont val="Arial"/>
        <family val="2"/>
      </rPr>
      <t>1.1. Coletor Turno Dia</t>
    </r>
  </si>
  <si>
    <r>
      <rPr>
        <sz val="7.5"/>
        <rFont val="Arial"/>
        <family val="2"/>
      </rPr>
      <t>1.2. Coletor Turno Noite</t>
    </r>
  </si>
  <si>
    <r>
      <rPr>
        <sz val="7.5"/>
        <rFont val="Arial"/>
        <family val="2"/>
      </rPr>
      <t>R$ 0,00</t>
    </r>
  </si>
  <si>
    <r>
      <rPr>
        <sz val="7.5"/>
        <rFont val="Arial"/>
        <family val="2"/>
      </rPr>
      <t>1.3. Motorista Turno do Dia</t>
    </r>
  </si>
  <si>
    <r>
      <rPr>
        <sz val="7.5"/>
        <rFont val="Arial"/>
        <family val="2"/>
      </rPr>
      <t>1.4. Motorista Turno Noite</t>
    </r>
  </si>
  <si>
    <r>
      <rPr>
        <sz val="7.5"/>
        <rFont val="Arial"/>
        <family val="2"/>
      </rPr>
      <t>1.5. Vale Transporte</t>
    </r>
  </si>
  <si>
    <r>
      <rPr>
        <sz val="7.5"/>
        <rFont val="Arial"/>
        <family val="2"/>
      </rPr>
      <t>1.6. Vale-refeição (diário)</t>
    </r>
  </si>
  <si>
    <r>
      <rPr>
        <b/>
        <sz val="7.5"/>
        <rFont val="Arial"/>
        <family val="2"/>
      </rPr>
      <t>2. Uniformes e Equipamentos de Proteção Individual</t>
    </r>
  </si>
  <si>
    <r>
      <rPr>
        <b/>
        <sz val="7.5"/>
        <rFont val="Arial"/>
        <family val="2"/>
      </rPr>
      <t>3. Veículos e Equipamentos</t>
    </r>
  </si>
  <si>
    <r>
      <rPr>
        <sz val="7.5"/>
        <rFont val="Arial"/>
        <family val="2"/>
      </rPr>
      <t>3.1. Veículo Coletor Compactador Toco (15 m³)</t>
    </r>
  </si>
  <si>
    <r>
      <rPr>
        <sz val="7.5"/>
        <rFont val="Arial"/>
        <family val="2"/>
      </rPr>
      <t>3.1.1. Depreciação</t>
    </r>
  </si>
  <si>
    <r>
      <rPr>
        <sz val="7.5"/>
        <rFont val="Arial"/>
        <family val="2"/>
      </rPr>
      <t>3.1.2. Remuneração do Capital</t>
    </r>
  </si>
  <si>
    <r>
      <rPr>
        <sz val="7.5"/>
        <rFont val="Arial"/>
        <family val="2"/>
      </rPr>
      <t>3.1.3. Impostos e Seguros</t>
    </r>
  </si>
  <si>
    <r>
      <rPr>
        <sz val="7.5"/>
        <rFont val="Arial"/>
        <family val="2"/>
      </rPr>
      <t>3.1.4. Consumos</t>
    </r>
  </si>
  <si>
    <r>
      <rPr>
        <sz val="7.5"/>
        <rFont val="Arial"/>
        <family val="2"/>
      </rPr>
      <t>3.1.5. Manutenção</t>
    </r>
  </si>
  <si>
    <r>
      <rPr>
        <sz val="7.5"/>
        <rFont val="Arial"/>
        <family val="2"/>
      </rPr>
      <t>3.1.6. Pneus</t>
    </r>
  </si>
  <si>
    <r>
      <rPr>
        <b/>
        <sz val="7.5"/>
        <rFont val="Arial"/>
        <family val="2"/>
      </rPr>
      <t>4. Ferramentas e Materiais de Consumo</t>
    </r>
  </si>
  <si>
    <r>
      <rPr>
        <b/>
        <sz val="7.5"/>
        <rFont val="Arial"/>
        <family val="2"/>
      </rPr>
      <t>5. Monitoramento da Frota</t>
    </r>
  </si>
  <si>
    <r>
      <rPr>
        <b/>
        <sz val="7.5"/>
        <rFont val="Arial"/>
        <family val="2"/>
      </rPr>
      <t>6. Benefícios e Despesas Indiretas - BDI</t>
    </r>
  </si>
  <si>
    <r>
      <rPr>
        <b/>
        <sz val="7.5"/>
        <rFont val="Arial"/>
        <family val="2"/>
      </rPr>
      <t>PREÇO TOTAL MENSAL COM A COLETA</t>
    </r>
  </si>
  <si>
    <r>
      <rPr>
        <b/>
        <sz val="7.5"/>
        <rFont val="Arial"/>
        <family val="2"/>
      </rPr>
      <t>Mão-de-obra</t>
    </r>
  </si>
  <si>
    <r>
      <rPr>
        <b/>
        <sz val="7.5"/>
        <rFont val="Arial"/>
        <family val="2"/>
      </rPr>
      <t>Quantidade</t>
    </r>
  </si>
  <si>
    <r>
      <rPr>
        <b/>
        <sz val="7.5"/>
        <rFont val="Arial"/>
        <family val="2"/>
      </rPr>
      <t>Total de mão-de-obra (postos de trabalho)</t>
    </r>
  </si>
  <si>
    <r>
      <rPr>
        <b/>
        <sz val="7.5"/>
        <rFont val="Arial"/>
        <family val="2"/>
      </rPr>
      <t>Veículos e Equipamentos</t>
    </r>
  </si>
  <si>
    <r>
      <rPr>
        <b/>
        <sz val="6.5"/>
        <rFont val="Arial"/>
        <family val="2"/>
      </rPr>
      <t>Discriminação</t>
    </r>
  </si>
  <si>
    <r>
      <rPr>
        <b/>
        <sz val="6.5"/>
        <rFont val="Arial"/>
        <family val="2"/>
      </rPr>
      <t>Unidade</t>
    </r>
  </si>
  <si>
    <r>
      <rPr>
        <b/>
        <sz val="6.5"/>
        <rFont val="Arial"/>
        <family val="2"/>
      </rPr>
      <t>Quantidade</t>
    </r>
  </si>
  <si>
    <r>
      <rPr>
        <b/>
        <sz val="6.5"/>
        <rFont val="Arial"/>
        <family val="2"/>
      </rPr>
      <t>Custo unitário</t>
    </r>
  </si>
  <si>
    <r>
      <rPr>
        <b/>
        <sz val="6.5"/>
        <rFont val="Arial"/>
        <family val="2"/>
      </rPr>
      <t>Subtotal</t>
    </r>
  </si>
  <si>
    <r>
      <rPr>
        <b/>
        <sz val="6.5"/>
        <rFont val="Arial"/>
        <family val="2"/>
      </rPr>
      <t>Total (R$)</t>
    </r>
  </si>
  <si>
    <r>
      <rPr>
        <sz val="7.5"/>
        <rFont val="Arial"/>
        <family val="2"/>
      </rPr>
      <t>Piso da categoria</t>
    </r>
  </si>
  <si>
    <r>
      <rPr>
        <sz val="7.5"/>
        <rFont val="Arial"/>
        <family val="2"/>
      </rPr>
      <t>mês</t>
    </r>
  </si>
  <si>
    <r>
      <rPr>
        <sz val="7.5"/>
        <rFont val="Arial"/>
        <family val="2"/>
      </rPr>
      <t>Adicional de Insalubridade</t>
    </r>
  </si>
  <si>
    <r>
      <rPr>
        <sz val="7.5"/>
        <rFont val="Arial"/>
        <family val="2"/>
      </rPr>
      <t>%</t>
    </r>
  </si>
  <si>
    <r>
      <rPr>
        <b/>
        <sz val="7.5"/>
        <rFont val="Arial"/>
        <family val="2"/>
      </rPr>
      <t>Soma</t>
    </r>
  </si>
  <si>
    <r>
      <rPr>
        <sz val="7.5"/>
        <rFont val="Arial"/>
        <family val="2"/>
      </rPr>
      <t>Encargos Sociais</t>
    </r>
  </si>
  <si>
    <r>
      <rPr>
        <sz val="7.5"/>
        <rFont val="Arial"/>
        <family val="2"/>
      </rPr>
      <t>71,72</t>
    </r>
  </si>
  <si>
    <r>
      <rPr>
        <b/>
        <sz val="7.5"/>
        <rFont val="Arial"/>
        <family val="2"/>
      </rPr>
      <t>Total por Coletor</t>
    </r>
  </si>
  <si>
    <r>
      <rPr>
        <sz val="7.5"/>
        <rFont val="Arial"/>
        <family val="2"/>
      </rPr>
      <t>Total do Efetivo</t>
    </r>
  </si>
  <si>
    <r>
      <rPr>
        <sz val="7.5"/>
        <rFont val="Arial"/>
        <family val="2"/>
      </rPr>
      <t>homem</t>
    </r>
  </si>
  <si>
    <r>
      <rPr>
        <sz val="7.5"/>
        <rFont val="Arial"/>
        <family val="2"/>
      </rPr>
      <t>Fator de utilização</t>
    </r>
  </si>
  <si>
    <r>
      <rPr>
        <sz val="7.5"/>
        <rFont val="Arial"/>
        <family val="2"/>
      </rPr>
      <t>1,00</t>
    </r>
  </si>
  <si>
    <r>
      <rPr>
        <sz val="7.5"/>
        <rFont val="Arial"/>
        <family val="2"/>
      </rPr>
      <t>Piso da categoria (2)</t>
    </r>
  </si>
  <si>
    <r>
      <rPr>
        <b/>
        <sz val="7.5"/>
        <rFont val="Arial"/>
        <family val="2"/>
      </rPr>
      <t>Total por Motorista</t>
    </r>
  </si>
  <si>
    <r>
      <rPr>
        <sz val="7.5"/>
        <rFont val="Arial"/>
        <family val="2"/>
      </rPr>
      <t>Vale Transporte</t>
    </r>
  </si>
  <si>
    <r>
      <rPr>
        <sz val="7.5"/>
        <rFont val="Arial"/>
        <family val="2"/>
      </rPr>
      <t>R$</t>
    </r>
  </si>
  <si>
    <r>
      <rPr>
        <sz val="7.5"/>
        <rFont val="Arial"/>
        <family val="2"/>
      </rPr>
      <t>8,50</t>
    </r>
  </si>
  <si>
    <r>
      <rPr>
        <sz val="7.5"/>
        <rFont val="Arial"/>
        <family val="2"/>
      </rPr>
      <t>Dias Trabalhados por mês</t>
    </r>
  </si>
  <si>
    <r>
      <rPr>
        <sz val="7.5"/>
        <rFont val="Arial"/>
        <family val="2"/>
      </rPr>
      <t>dia</t>
    </r>
  </si>
  <si>
    <r>
      <rPr>
        <sz val="7.5"/>
        <rFont val="Arial"/>
        <family val="2"/>
      </rPr>
      <t>Coletor</t>
    </r>
  </si>
  <si>
    <r>
      <rPr>
        <sz val="7.5"/>
        <rFont val="Arial"/>
        <family val="2"/>
      </rPr>
      <t>vale</t>
    </r>
  </si>
  <si>
    <r>
      <rPr>
        <sz val="7.5"/>
        <rFont val="Arial"/>
        <family val="2"/>
      </rPr>
      <t>6,89</t>
    </r>
  </si>
  <si>
    <r>
      <rPr>
        <sz val="7.5"/>
        <rFont val="Arial"/>
        <family val="2"/>
      </rPr>
      <t>Motorista</t>
    </r>
  </si>
  <si>
    <r>
      <rPr>
        <sz val="7.5"/>
        <rFont val="Arial"/>
        <family val="2"/>
      </rPr>
      <t>6,27</t>
    </r>
  </si>
  <si>
    <r>
      <rPr>
        <sz val="7.5"/>
        <rFont val="Arial"/>
        <family val="2"/>
      </rPr>
      <t>unidade</t>
    </r>
  </si>
  <si>
    <r>
      <rPr>
        <b/>
        <sz val="6.5"/>
        <rFont val="Arial"/>
        <family val="2"/>
      </rPr>
      <t>Durabilidade (meses)</t>
    </r>
  </si>
  <si>
    <r>
      <rPr>
        <sz val="7.5"/>
        <rFont val="Arial"/>
        <family val="2"/>
      </rPr>
      <t>Jaqueta com reflexivo (NBR 15.292)</t>
    </r>
  </si>
  <si>
    <r>
      <rPr>
        <sz val="7.5"/>
        <rFont val="Arial"/>
        <family val="2"/>
      </rPr>
      <t>Calça de Brim</t>
    </r>
  </si>
  <si>
    <r>
      <rPr>
        <sz val="7.5"/>
        <rFont val="Arial"/>
        <family val="2"/>
      </rPr>
      <t>Camiseta de malha manga longa</t>
    </r>
  </si>
  <si>
    <r>
      <rPr>
        <sz val="7.5"/>
        <rFont val="Arial"/>
        <family val="2"/>
      </rPr>
      <t>Boné com protetor de pescoço</t>
    </r>
  </si>
  <si>
    <r>
      <rPr>
        <sz val="7.5"/>
        <rFont val="Arial"/>
        <family val="2"/>
      </rPr>
      <t>Botina de segurança c/ palmilha aço</t>
    </r>
  </si>
  <si>
    <r>
      <rPr>
        <sz val="7.5"/>
        <rFont val="Arial"/>
        <family val="2"/>
      </rPr>
      <t>par</t>
    </r>
  </si>
  <si>
    <r>
      <rPr>
        <sz val="7.5"/>
        <rFont val="Arial"/>
        <family val="2"/>
      </rPr>
      <t>Capa de chuva amarela com reflexivo</t>
    </r>
  </si>
  <si>
    <r>
      <rPr>
        <sz val="7.5"/>
        <rFont val="Arial"/>
        <family val="2"/>
      </rPr>
      <t>Luva de proteção</t>
    </r>
  </si>
  <si>
    <r>
      <rPr>
        <sz val="7.5"/>
        <rFont val="Arial"/>
        <family val="2"/>
      </rPr>
      <t>Protetor solar FPS 30</t>
    </r>
  </si>
  <si>
    <r>
      <rPr>
        <sz val="7.5"/>
        <rFont val="Arial"/>
        <family val="2"/>
      </rPr>
      <t>frasco 120g</t>
    </r>
  </si>
  <si>
    <r>
      <rPr>
        <sz val="7.5"/>
        <rFont val="Arial"/>
        <family val="2"/>
      </rPr>
      <t>Protetor auricular tipo plug</t>
    </r>
  </si>
  <si>
    <r>
      <rPr>
        <sz val="7.5"/>
        <rFont val="Arial"/>
        <family val="2"/>
      </rPr>
      <t>R$ mensal</t>
    </r>
  </si>
  <si>
    <r>
      <rPr>
        <b/>
        <sz val="6.5"/>
        <rFont val="Arial"/>
        <family val="2"/>
      </rPr>
      <t xml:space="preserve">Durabilidade
</t>
    </r>
    <r>
      <rPr>
        <b/>
        <sz val="6.5"/>
        <rFont val="Arial"/>
        <family val="2"/>
      </rPr>
      <t>(meses)</t>
    </r>
  </si>
  <si>
    <r>
      <rPr>
        <sz val="7.5"/>
        <rFont val="Arial"/>
        <family val="2"/>
      </rPr>
      <t>Custo de aquisição do chassis</t>
    </r>
  </si>
  <si>
    <r>
      <rPr>
        <sz val="7.5"/>
        <rFont val="Arial"/>
        <family val="2"/>
      </rPr>
      <t>Vida útil do chassis</t>
    </r>
  </si>
  <si>
    <r>
      <rPr>
        <sz val="7.5"/>
        <rFont val="Arial"/>
        <family val="2"/>
      </rPr>
      <t>anos</t>
    </r>
  </si>
  <si>
    <r>
      <rPr>
        <sz val="7.5"/>
        <rFont val="Arial"/>
        <family val="2"/>
      </rPr>
      <t>Idade do veículo</t>
    </r>
  </si>
  <si>
    <r>
      <rPr>
        <sz val="7.5"/>
        <rFont val="Arial"/>
        <family val="2"/>
      </rPr>
      <t>Depreciação do chassis</t>
    </r>
  </si>
  <si>
    <r>
      <rPr>
        <sz val="7.5"/>
        <rFont val="Arial"/>
        <family val="2"/>
      </rPr>
      <t>65,18</t>
    </r>
  </si>
  <si>
    <r>
      <rPr>
        <b/>
        <sz val="7.5"/>
        <rFont val="Arial"/>
        <family val="2"/>
      </rPr>
      <t>Depreciação mensal veículos coletores</t>
    </r>
  </si>
  <si>
    <r>
      <rPr>
        <b/>
        <sz val="7.5"/>
        <rFont val="Arial"/>
        <family val="2"/>
      </rPr>
      <t>mês</t>
    </r>
  </si>
  <si>
    <r>
      <rPr>
        <sz val="7.5"/>
        <rFont val="Arial"/>
        <family val="2"/>
      </rPr>
      <t>Custo de aquisição do compactador</t>
    </r>
  </si>
  <si>
    <r>
      <rPr>
        <sz val="7.5"/>
        <rFont val="Arial"/>
        <family val="2"/>
      </rPr>
      <t>Vida útil do compactador</t>
    </r>
  </si>
  <si>
    <r>
      <rPr>
        <sz val="7.5"/>
        <rFont val="Arial"/>
        <family val="2"/>
      </rPr>
      <t>Idade do compactador</t>
    </r>
  </si>
  <si>
    <r>
      <rPr>
        <sz val="7.5"/>
        <rFont val="Arial"/>
        <family val="2"/>
      </rPr>
      <t>Depreciação do compactador</t>
    </r>
  </si>
  <si>
    <r>
      <rPr>
        <b/>
        <sz val="7.5"/>
        <rFont val="Arial"/>
        <family val="2"/>
      </rPr>
      <t>Depreciação mensal do compactador</t>
    </r>
  </si>
  <si>
    <r>
      <rPr>
        <b/>
        <sz val="7.5"/>
        <rFont val="Arial"/>
        <family val="2"/>
      </rPr>
      <t>Total por veículo</t>
    </r>
  </si>
  <si>
    <r>
      <rPr>
        <b/>
        <sz val="7.5"/>
        <rFont val="Arial"/>
        <family val="2"/>
      </rPr>
      <t>Total da frota</t>
    </r>
  </si>
  <si>
    <r>
      <rPr>
        <b/>
        <sz val="7.5"/>
        <rFont val="Arial"/>
        <family val="2"/>
      </rPr>
      <t>unidade</t>
    </r>
  </si>
  <si>
    <r>
      <rPr>
        <sz val="7.5"/>
        <rFont val="Arial"/>
        <family val="2"/>
      </rPr>
      <t>Custo do chassis</t>
    </r>
  </si>
  <si>
    <r>
      <rPr>
        <sz val="7.5"/>
        <rFont val="Arial"/>
        <family val="2"/>
      </rPr>
      <t>Taxa de juros anual nominal</t>
    </r>
  </si>
  <si>
    <r>
      <rPr>
        <sz val="7.5"/>
        <rFont val="Arial"/>
        <family val="2"/>
      </rPr>
      <t>Valor do veículo proposto (V0)</t>
    </r>
  </si>
  <si>
    <r>
      <rPr>
        <sz val="7.5"/>
        <rFont val="Arial"/>
        <family val="2"/>
      </rPr>
      <t>Investimento médio total do chassis</t>
    </r>
  </si>
  <si>
    <r>
      <rPr>
        <sz val="7.5"/>
        <rFont val="Arial"/>
        <family val="2"/>
      </rPr>
      <t>190.821,14</t>
    </r>
  </si>
  <si>
    <r>
      <rPr>
        <b/>
        <sz val="7.5"/>
        <rFont val="Arial"/>
        <family val="2"/>
      </rPr>
      <t>Remuneração mensal de capital do chassis</t>
    </r>
  </si>
  <si>
    <r>
      <rPr>
        <b/>
        <sz val="7.5"/>
        <rFont val="Arial"/>
        <family val="2"/>
      </rPr>
      <t>R$</t>
    </r>
  </si>
  <si>
    <r>
      <rPr>
        <b/>
        <sz val="7.5"/>
        <rFont val="Arial"/>
        <family val="2"/>
      </rPr>
      <t>1.232,39</t>
    </r>
  </si>
  <si>
    <r>
      <rPr>
        <sz val="7.5"/>
        <rFont val="Arial"/>
        <family val="2"/>
      </rPr>
      <t>Custo do compactador</t>
    </r>
  </si>
  <si>
    <r>
      <rPr>
        <sz val="7.5"/>
        <rFont val="Arial"/>
        <family val="2"/>
      </rPr>
      <t>Valor do compactador proposto (V0)</t>
    </r>
  </si>
  <si>
    <r>
      <rPr>
        <sz val="7.5"/>
        <rFont val="Arial"/>
        <family val="2"/>
      </rPr>
      <t>Investimento médio total do compactador</t>
    </r>
  </si>
  <si>
    <r>
      <rPr>
        <sz val="7.5"/>
        <rFont val="Arial"/>
        <family val="2"/>
      </rPr>
      <t>150.171,63</t>
    </r>
  </si>
  <si>
    <r>
      <rPr>
        <b/>
        <sz val="7.5"/>
        <rFont val="Arial"/>
        <family val="2"/>
      </rPr>
      <t>Remuneração mensal de capital do compactador</t>
    </r>
  </si>
  <si>
    <r>
      <rPr>
        <b/>
        <sz val="7.5"/>
        <rFont val="Arial"/>
        <family val="2"/>
      </rPr>
      <t>969,86</t>
    </r>
  </si>
  <si>
    <r>
      <rPr>
        <b/>
        <sz val="7.5"/>
        <rFont val="Arial"/>
        <family val="2"/>
      </rPr>
      <t>2.202,24</t>
    </r>
  </si>
  <si>
    <r>
      <rPr>
        <sz val="7.5"/>
        <rFont val="Arial"/>
        <family val="2"/>
      </rPr>
      <t>IPVA</t>
    </r>
  </si>
  <si>
    <r>
      <rPr>
        <sz val="7.5"/>
        <rFont val="Arial"/>
        <family val="2"/>
      </rPr>
      <t>2,00</t>
    </r>
  </si>
  <si>
    <r>
      <rPr>
        <sz val="7.5"/>
        <rFont val="Arial"/>
        <family val="2"/>
      </rPr>
      <t>Licenciamento e Seguro obrigatório</t>
    </r>
  </si>
  <si>
    <r>
      <rPr>
        <sz val="7.5"/>
        <rFont val="Arial"/>
        <family val="2"/>
      </rPr>
      <t>66,70</t>
    </r>
  </si>
  <si>
    <r>
      <rPr>
        <sz val="7.5"/>
        <rFont val="Arial"/>
        <family val="2"/>
      </rPr>
      <t>133,40</t>
    </r>
  </si>
  <si>
    <r>
      <rPr>
        <sz val="7.5"/>
        <rFont val="Arial"/>
        <family val="2"/>
      </rPr>
      <t>Seguro contra terceiros</t>
    </r>
  </si>
  <si>
    <r>
      <rPr>
        <sz val="7.5"/>
        <rFont val="Arial"/>
        <family val="2"/>
      </rPr>
      <t>-</t>
    </r>
  </si>
  <si>
    <r>
      <rPr>
        <b/>
        <sz val="7.5"/>
        <rFont val="Arial"/>
        <family val="2"/>
      </rPr>
      <t>Impostos e seguros mensais</t>
    </r>
  </si>
  <si>
    <r>
      <rPr>
        <b/>
        <sz val="6.5"/>
        <rFont val="Arial"/>
        <family val="2"/>
      </rPr>
      <t>Consumo</t>
    </r>
  </si>
  <si>
    <r>
      <rPr>
        <sz val="7.5"/>
        <rFont val="Arial"/>
        <family val="2"/>
      </rPr>
      <t>Custo de óleo diesel / km rodado</t>
    </r>
  </si>
  <si>
    <r>
      <rPr>
        <sz val="7.5"/>
        <rFont val="Arial"/>
        <family val="2"/>
      </rPr>
      <t>km/l</t>
    </r>
  </si>
  <si>
    <r>
      <rPr>
        <sz val="7.5"/>
        <rFont val="Arial"/>
        <family val="2"/>
      </rPr>
      <t>2,50</t>
    </r>
  </si>
  <si>
    <r>
      <rPr>
        <sz val="7.5"/>
        <rFont val="Arial"/>
        <family val="2"/>
      </rPr>
      <t>Custo mensal com óleo diesel</t>
    </r>
  </si>
  <si>
    <r>
      <rPr>
        <sz val="7.5"/>
        <rFont val="Arial"/>
        <family val="2"/>
      </rPr>
      <t>km</t>
    </r>
  </si>
  <si>
    <r>
      <rPr>
        <sz val="7.5"/>
        <rFont val="Arial"/>
        <family val="2"/>
      </rPr>
      <t>Custo de óleo do motor /1.000 km rodados</t>
    </r>
  </si>
  <si>
    <r>
      <rPr>
        <sz val="7.5"/>
        <rFont val="Arial"/>
        <family val="2"/>
      </rPr>
      <t>l/1.000 km</t>
    </r>
  </si>
  <si>
    <r>
      <rPr>
        <sz val="7.5"/>
        <rFont val="Arial"/>
        <family val="2"/>
      </rPr>
      <t>6,00</t>
    </r>
  </si>
  <si>
    <r>
      <rPr>
        <sz val="7.5"/>
        <rFont val="Arial"/>
        <family val="2"/>
      </rPr>
      <t>19,11</t>
    </r>
  </si>
  <si>
    <r>
      <rPr>
        <sz val="7.5"/>
        <rFont val="Arial"/>
        <family val="2"/>
      </rPr>
      <t>Custo mensal com óleo do motor</t>
    </r>
  </si>
  <si>
    <r>
      <rPr>
        <sz val="7.5"/>
        <rFont val="Arial"/>
        <family val="2"/>
      </rPr>
      <t>0,115</t>
    </r>
  </si>
  <si>
    <r>
      <rPr>
        <sz val="7.5"/>
        <rFont val="Arial"/>
        <family val="2"/>
      </rPr>
      <t>Custo de óleo da transmissão /1.000 km</t>
    </r>
  </si>
  <si>
    <r>
      <rPr>
        <sz val="7.5"/>
        <rFont val="Arial"/>
        <family val="2"/>
      </rPr>
      <t>0,85</t>
    </r>
  </si>
  <si>
    <r>
      <rPr>
        <sz val="7.5"/>
        <rFont val="Arial"/>
        <family val="2"/>
      </rPr>
      <t>21,85</t>
    </r>
  </si>
  <si>
    <r>
      <rPr>
        <sz val="7.5"/>
        <rFont val="Arial"/>
        <family val="2"/>
      </rPr>
      <t>Custo mensal com óleo da transmissão</t>
    </r>
  </si>
  <si>
    <r>
      <rPr>
        <sz val="7.5"/>
        <rFont val="Arial"/>
        <family val="2"/>
      </rPr>
      <t>0,019</t>
    </r>
  </si>
  <si>
    <r>
      <rPr>
        <sz val="7.5"/>
        <rFont val="Arial"/>
        <family val="2"/>
      </rPr>
      <t>Custo de óleo hidráulico / 1.000 km</t>
    </r>
  </si>
  <si>
    <r>
      <rPr>
        <sz val="7.5"/>
        <rFont val="Arial"/>
        <family val="2"/>
      </rPr>
      <t>5,00</t>
    </r>
  </si>
  <si>
    <r>
      <rPr>
        <sz val="7.5"/>
        <rFont val="Arial"/>
        <family val="2"/>
      </rPr>
      <t>17,68</t>
    </r>
  </si>
  <si>
    <r>
      <rPr>
        <sz val="7.5"/>
        <rFont val="Arial"/>
        <family val="2"/>
      </rPr>
      <t>Custo mensal com óleo hidráulico</t>
    </r>
  </si>
  <si>
    <r>
      <rPr>
        <sz val="7.5"/>
        <rFont val="Arial"/>
        <family val="2"/>
      </rPr>
      <t>0,088</t>
    </r>
  </si>
  <si>
    <r>
      <rPr>
        <sz val="7.5"/>
        <rFont val="Arial"/>
        <family val="2"/>
      </rPr>
      <t>Custo de graxa /1.000 km rodados</t>
    </r>
  </si>
  <si>
    <r>
      <rPr>
        <sz val="7.5"/>
        <rFont val="Arial"/>
        <family val="2"/>
      </rPr>
      <t>kg/1.000 km</t>
    </r>
  </si>
  <si>
    <r>
      <rPr>
        <sz val="7.5"/>
        <rFont val="Arial"/>
        <family val="2"/>
      </rPr>
      <t>25,30</t>
    </r>
  </si>
  <si>
    <r>
      <rPr>
        <sz val="7.5"/>
        <rFont val="Arial"/>
        <family val="2"/>
      </rPr>
      <t>Custo mensal com graxa</t>
    </r>
  </si>
  <si>
    <r>
      <rPr>
        <sz val="7.5"/>
        <rFont val="Arial"/>
        <family val="2"/>
      </rPr>
      <t>0,051</t>
    </r>
  </si>
  <si>
    <r>
      <rPr>
        <b/>
        <sz val="7.5"/>
        <rFont val="Arial"/>
        <family val="2"/>
      </rPr>
      <t>Custo com consumos/km rodado</t>
    </r>
  </si>
  <si>
    <r>
      <rPr>
        <b/>
        <sz val="7.5"/>
        <rFont val="Arial"/>
        <family val="2"/>
      </rPr>
      <t>R$/km rodado</t>
    </r>
  </si>
  <si>
    <r>
      <rPr>
        <sz val="7.5"/>
        <rFont val="Arial"/>
        <family val="2"/>
      </rPr>
      <t>Custo de manutenção dos caminhões</t>
    </r>
  </si>
  <si>
    <r>
      <rPr>
        <sz val="7.5"/>
        <rFont val="Arial"/>
        <family val="2"/>
      </rPr>
      <t>R$/km rodado</t>
    </r>
  </si>
  <si>
    <r>
      <rPr>
        <sz val="7.5"/>
        <rFont val="Arial"/>
        <family val="2"/>
      </rPr>
      <t>Custo do jogo de pneus 275/80 R22.5</t>
    </r>
  </si>
  <si>
    <r>
      <rPr>
        <sz val="7.5"/>
        <rFont val="Arial"/>
        <family val="2"/>
      </rPr>
      <t>Número de recapagens por pneu</t>
    </r>
  </si>
  <si>
    <r>
      <rPr>
        <sz val="7.5"/>
        <rFont val="Arial"/>
        <family val="2"/>
      </rPr>
      <t>Custo de recapagem</t>
    </r>
  </si>
  <si>
    <r>
      <rPr>
        <sz val="7.5"/>
        <rFont val="Arial"/>
        <family val="2"/>
      </rPr>
      <t>km/jogo</t>
    </r>
  </si>
  <si>
    <r>
      <rPr>
        <sz val="7.5"/>
        <rFont val="Arial"/>
        <family val="2"/>
      </rPr>
      <t>Custo mensal com pneus</t>
    </r>
  </si>
  <si>
    <r>
      <rPr>
        <sz val="7.5"/>
        <rFont val="Arial"/>
        <family val="2"/>
      </rPr>
      <t>Recipiente térmico para água (5L)</t>
    </r>
  </si>
  <si>
    <r>
      <rPr>
        <sz val="7.5"/>
        <rFont val="Arial"/>
        <family val="2"/>
      </rPr>
      <t>unidade/ano</t>
    </r>
  </si>
  <si>
    <r>
      <rPr>
        <sz val="7.5"/>
        <rFont val="Arial"/>
        <family val="2"/>
      </rPr>
      <t>Vassoura</t>
    </r>
  </si>
  <si>
    <r>
      <rPr>
        <sz val="7.5"/>
        <rFont val="Arial"/>
        <family val="2"/>
      </rPr>
      <t>57,86</t>
    </r>
  </si>
  <si>
    <r>
      <rPr>
        <sz val="7.5"/>
        <rFont val="Arial"/>
        <family val="2"/>
      </rPr>
      <t>Publicidade (adesivos veículos)</t>
    </r>
  </si>
  <si>
    <r>
      <rPr>
        <sz val="7.5"/>
        <rFont val="Arial"/>
        <family val="2"/>
      </rPr>
      <t>cj/ano</t>
    </r>
  </si>
  <si>
    <r>
      <rPr>
        <sz val="7.5"/>
        <rFont val="Arial"/>
        <family val="2"/>
      </rPr>
      <t>2.950,00</t>
    </r>
  </si>
  <si>
    <r>
      <rPr>
        <sz val="7.5"/>
        <rFont val="Arial"/>
        <family val="2"/>
      </rPr>
      <t>Implantação dos equipamentos de monitoramento</t>
    </r>
  </si>
  <si>
    <r>
      <rPr>
        <sz val="6.5"/>
        <rFont val="Arial"/>
        <family val="2"/>
      </rPr>
      <t>cj</t>
    </r>
  </si>
  <si>
    <r>
      <rPr>
        <sz val="7.5"/>
        <rFont val="Arial"/>
        <family val="2"/>
      </rPr>
      <t>Manutenção dos equipamentos de monitoramento</t>
    </r>
  </si>
  <si>
    <r>
      <rPr>
        <b/>
        <sz val="7.5"/>
        <rFont val="Arial"/>
        <family val="2"/>
      </rPr>
      <t>CUSTO TOTAL MENSAL COM DESPESAS OPERACIONAIS (R$/mês)</t>
    </r>
  </si>
  <si>
    <r>
      <rPr>
        <sz val="7.5"/>
        <rFont val="Arial"/>
        <family val="2"/>
      </rPr>
      <t>Benefícios e despesas indiretas</t>
    </r>
  </si>
  <si>
    <r>
      <rPr>
        <sz val="7.5"/>
        <rFont val="Arial"/>
        <family val="2"/>
      </rPr>
      <t>26,66</t>
    </r>
  </si>
  <si>
    <r>
      <rPr>
        <b/>
        <sz val="7.5"/>
        <rFont val="Arial"/>
        <family val="2"/>
      </rPr>
      <t>CUSTO MENSAL COM BDI (R$/mês)</t>
    </r>
  </si>
  <si>
    <r>
      <rPr>
        <b/>
        <sz val="7.5"/>
        <rFont val="Arial"/>
        <family val="2"/>
      </rPr>
      <t>PREÇO MENSAL TOTAL (R$/mês)</t>
    </r>
  </si>
  <si>
    <t>PREFEITURA MUNICIPAL DE PALMARES DO SUL</t>
  </si>
  <si>
    <t>LOCAL:Municipio Palmares do Sul</t>
  </si>
  <si>
    <t>COLETA DE LIXO</t>
  </si>
  <si>
    <t>ALEXANDRE OLIVEIRA BRAZ</t>
  </si>
  <si>
    <t>Eng. Civil - CREA 76.828</t>
  </si>
  <si>
    <t>Custo mensal com implantação</t>
  </si>
  <si>
    <t>mês</t>
  </si>
  <si>
    <t>Custo mensal com manutenção</t>
  </si>
  <si>
    <t>Quantitativos</t>
  </si>
  <si>
    <t>VALE REFEIÇÃO</t>
  </si>
  <si>
    <r>
      <rPr>
        <sz val="7.5"/>
        <rFont val="Arial"/>
        <family val="2"/>
      </rPr>
      <t>Total do Efetivo</t>
    </r>
    <r>
      <rPr>
        <sz val="7.5"/>
        <rFont val="Arial"/>
        <family val="2"/>
      </rPr>
      <t xml:space="preserve"> Motorista</t>
    </r>
  </si>
  <si>
    <r>
      <rPr>
        <sz val="7.5"/>
        <rFont val="Arial"/>
        <family val="2"/>
      </rPr>
      <t>Total do Efetivo</t>
    </r>
    <r>
      <rPr>
        <sz val="7.5"/>
        <rFont val="Arial"/>
        <family val="2"/>
      </rPr>
      <t xml:space="preserve"> Coletor</t>
    </r>
  </si>
  <si>
    <t>FEVEREIRO DE 2025</t>
  </si>
  <si>
    <r>
      <rPr>
        <sz val="7.5"/>
        <rFont val="Arial"/>
        <family val="2"/>
      </rPr>
      <t>Horas Extras (100%)</t>
    </r>
  </si>
  <si>
    <r>
      <rPr>
        <sz val="7.5"/>
        <rFont val="Arial"/>
        <family val="2"/>
      </rPr>
      <t>hora</t>
    </r>
  </si>
  <si>
    <r>
      <rPr>
        <sz val="7.5"/>
        <rFont val="Arial"/>
        <family val="2"/>
      </rPr>
      <t>Horas Extras (50%)</t>
    </r>
  </si>
  <si>
    <r>
      <rPr>
        <sz val="7.5"/>
        <rFont val="Arial"/>
        <family val="2"/>
      </rPr>
      <t>9,53</t>
    </r>
  </si>
  <si>
    <r>
      <rPr>
        <sz val="7.5"/>
        <rFont val="Arial"/>
        <family val="2"/>
      </rPr>
      <t>Descanso Semanal Remunerado (DSR) - hora extra</t>
    </r>
  </si>
  <si>
    <r>
      <rPr>
        <sz val="7.5"/>
        <rFont val="Arial"/>
        <family val="2"/>
      </rPr>
      <t>84,80</t>
    </r>
  </si>
  <si>
    <r>
      <rPr>
        <sz val="7.5"/>
        <rFont val="Arial"/>
        <family val="2"/>
      </rPr>
      <t>117,14</t>
    </r>
  </si>
  <si>
    <t>Plano benefico familiar</t>
  </si>
  <si>
    <t xml:space="preserve">Oculos de proteção </t>
  </si>
  <si>
    <t>Unidade</t>
  </si>
  <si>
    <t>higienização uniformes epi</t>
  </si>
  <si>
    <t>Acrescimo de 10% suprir frota reserva</t>
  </si>
  <si>
    <t>%</t>
  </si>
  <si>
    <t>Total</t>
  </si>
  <si>
    <t>Custo jg. compl. + 6 recap./ km rodado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</si>
</sst>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_-[$R$-416]\ * #,##0.00_-;\-[$R$-416]\ * #,##0.00_-;_-[$R$-416]\ * &quot;-&quot;??_-;_-@_-"/>
    <numFmt numFmtId="166" formatCode="_-&quot;R$&quot;\ * #,##0.0_-;\-&quot;R$&quot;\ * #,##0.0_-;_-&quot;R$&quot;\ * &quot;-&quot;??_-;_-@_-"/>
    <numFmt numFmtId="167" formatCode="_-&quot;R$&quot;\ * #,##0.0_-;\-&quot;R$&quot;\ * #,##0.0_-;_-&quot;R$&quot;\ * &quot;-&quot;?_-;_-@_-"/>
    <numFmt numFmtId="168" formatCode="_-&quot;R$&quot;\ * #,##0.000_-;\-&quot;R$&quot;\ * #,##0.000_-;_-&quot;R$&quot;\ * &quot;-&quot;???_-;_-@_-"/>
    <numFmt numFmtId="169" formatCode="_-&quot;R$&quot;\ * #,##0.00_-;\-&quot;R$&quot;\ * #,##0.00_-;_-&quot;R$&quot;\ * &quot;-&quot;???_-;_-@_-"/>
  </numFmts>
  <fonts count="22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b/>
      <sz val="10.5"/>
      <name val="Arial"/>
      <family val="2"/>
    </font>
    <font>
      <b/>
      <sz val="8.5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sz val="8"/>
      <color rgb="FF000000"/>
      <name val="Arial"/>
      <family val="2"/>
    </font>
    <font>
      <sz val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79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1" xfId="0" applyFont="1" applyBorder="1" applyAlignment="1">
      <alignment horizontal="left" vertical="top" wrapText="1" indent="8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center" vertical="top" shrinkToFit="1"/>
    </xf>
    <xf numFmtId="1" fontId="4" fillId="0" borderId="1" xfId="0" applyNumberFormat="1" applyFont="1" applyBorder="1" applyAlignment="1">
      <alignment horizontal="center" vertical="top" shrinkToFi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 indent="1"/>
    </xf>
    <xf numFmtId="0" fontId="6" fillId="2" borderId="1" xfId="0" applyFont="1" applyFill="1" applyBorder="1" applyAlignment="1">
      <alignment horizontal="left" vertical="top" wrapText="1" indent="2"/>
    </xf>
    <xf numFmtId="0" fontId="6" fillId="2" borderId="1" xfId="0" applyFont="1" applyFill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3"/>
    </xf>
    <xf numFmtId="1" fontId="5" fillId="0" borderId="1" xfId="0" applyNumberFormat="1" applyFont="1" applyBorder="1" applyAlignment="1">
      <alignment horizontal="right" vertical="top" shrinkToFi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 indent="1"/>
    </xf>
    <xf numFmtId="0" fontId="6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horizontal="left" vertical="top" wrapText="1" indent="1"/>
    </xf>
    <xf numFmtId="1" fontId="5" fillId="0" borderId="1" xfId="0" applyNumberFormat="1" applyFont="1" applyBorder="1" applyAlignment="1">
      <alignment horizontal="right" vertical="top" indent="3" shrinkToFit="1"/>
    </xf>
    <xf numFmtId="0" fontId="0" fillId="0" borderId="1" xfId="0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1" fontId="5" fillId="0" borderId="10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right" vertical="top" wrapText="1" indent="1"/>
    </xf>
    <xf numFmtId="164" fontId="5" fillId="0" borderId="1" xfId="0" applyNumberFormat="1" applyFont="1" applyBorder="1" applyAlignment="1">
      <alignment horizontal="right" vertical="top" shrinkToFit="1"/>
    </xf>
    <xf numFmtId="164" fontId="4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16" fillId="0" borderId="16" xfId="0" applyFont="1" applyBorder="1"/>
    <xf numFmtId="0" fontId="16" fillId="0" borderId="0" xfId="0" applyFont="1"/>
    <xf numFmtId="43" fontId="17" fillId="0" borderId="0" xfId="1" applyFont="1" applyBorder="1" applyAlignment="1"/>
    <xf numFmtId="43" fontId="0" fillId="0" borderId="17" xfId="1" applyFont="1" applyBorder="1" applyAlignment="1"/>
    <xf numFmtId="0" fontId="0" fillId="0" borderId="18" xfId="0" applyBorder="1" applyAlignment="1">
      <alignment horizontal="center"/>
    </xf>
    <xf numFmtId="0" fontId="18" fillId="0" borderId="0" xfId="0" applyFont="1" applyAlignment="1">
      <alignment horizontal="center"/>
    </xf>
    <xf numFmtId="43" fontId="0" fillId="0" borderId="0" xfId="1" applyFont="1" applyBorder="1" applyAlignment="1">
      <alignment horizontal="left"/>
    </xf>
    <xf numFmtId="43" fontId="0" fillId="0" borderId="19" xfId="1" applyFont="1" applyBorder="1" applyAlignment="1">
      <alignment horizontal="left"/>
    </xf>
    <xf numFmtId="0" fontId="0" fillId="0" borderId="13" xfId="0" applyBorder="1" applyAlignment="1">
      <alignment horizontal="center"/>
    </xf>
    <xf numFmtId="43" fontId="17" fillId="0" borderId="26" xfId="1" applyFont="1" applyBorder="1" applyAlignment="1"/>
    <xf numFmtId="43" fontId="0" fillId="0" borderId="27" xfId="1" applyFont="1" applyBorder="1" applyAlignment="1"/>
    <xf numFmtId="0" fontId="0" fillId="0" borderId="28" xfId="0" applyBorder="1" applyAlignment="1">
      <alignment horizontal="center"/>
    </xf>
    <xf numFmtId="0" fontId="18" fillId="0" borderId="29" xfId="0" applyFont="1" applyBorder="1" applyAlignment="1">
      <alignment horizontal="center"/>
    </xf>
    <xf numFmtId="43" fontId="0" fillId="0" borderId="29" xfId="1" applyFont="1" applyBorder="1" applyAlignment="1">
      <alignment horizontal="left"/>
    </xf>
    <xf numFmtId="43" fontId="0" fillId="0" borderId="30" xfId="1" applyFont="1" applyBorder="1" applyAlignment="1">
      <alignment horizontal="left"/>
    </xf>
    <xf numFmtId="0" fontId="18" fillId="0" borderId="31" xfId="0" applyFont="1" applyBorder="1"/>
    <xf numFmtId="0" fontId="18" fillId="0" borderId="0" xfId="0" applyFont="1"/>
    <xf numFmtId="0" fontId="0" fillId="0" borderId="23" xfId="0" applyBorder="1"/>
    <xf numFmtId="0" fontId="0" fillId="0" borderId="24" xfId="0" applyBorder="1"/>
    <xf numFmtId="0" fontId="16" fillId="0" borderId="25" xfId="0" applyFont="1" applyBorder="1"/>
    <xf numFmtId="0" fontId="16" fillId="0" borderId="26" xfId="0" applyFont="1" applyBorder="1"/>
    <xf numFmtId="0" fontId="16" fillId="0" borderId="18" xfId="0" applyFont="1" applyBorder="1"/>
    <xf numFmtId="43" fontId="0" fillId="0" borderId="34" xfId="1" applyFont="1" applyBorder="1" applyAlignment="1"/>
    <xf numFmtId="44" fontId="0" fillId="0" borderId="0" xfId="2" applyFont="1" applyFill="1" applyBorder="1" applyAlignment="1">
      <alignment horizontal="left" vertical="top"/>
    </xf>
    <xf numFmtId="44" fontId="0" fillId="0" borderId="16" xfId="2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44" fontId="2" fillId="2" borderId="1" xfId="2" applyFont="1" applyFill="1" applyBorder="1" applyAlignment="1">
      <alignment horizontal="left" vertical="top" wrapText="1" indent="2"/>
    </xf>
    <xf numFmtId="165" fontId="3" fillId="0" borderId="1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165" fontId="3" fillId="3" borderId="1" xfId="0" applyNumberFormat="1" applyFont="1" applyFill="1" applyBorder="1" applyAlignment="1">
      <alignment horizontal="right" vertical="top" wrapText="1"/>
    </xf>
    <xf numFmtId="44" fontId="3" fillId="0" borderId="1" xfId="2" applyFont="1" applyBorder="1" applyAlignment="1">
      <alignment horizontal="right" vertical="top" wrapText="1"/>
    </xf>
    <xf numFmtId="44" fontId="3" fillId="3" borderId="1" xfId="2" applyFont="1" applyFill="1" applyBorder="1" applyAlignment="1">
      <alignment horizontal="right" vertical="top" wrapText="1"/>
    </xf>
    <xf numFmtId="44" fontId="3" fillId="0" borderId="1" xfId="0" applyNumberFormat="1" applyFont="1" applyBorder="1" applyAlignment="1">
      <alignment horizontal="right" vertical="top" wrapText="1"/>
    </xf>
    <xf numFmtId="44" fontId="2" fillId="0" borderId="1" xfId="0" applyNumberFormat="1" applyFont="1" applyBorder="1" applyAlignment="1">
      <alignment horizontal="right" vertical="top" wrapText="1"/>
    </xf>
    <xf numFmtId="44" fontId="2" fillId="2" borderId="1" xfId="0" applyNumberFormat="1" applyFont="1" applyFill="1" applyBorder="1" applyAlignment="1">
      <alignment horizontal="left" vertical="top" wrapText="1" indent="3"/>
    </xf>
    <xf numFmtId="165" fontId="3" fillId="4" borderId="1" xfId="0" applyNumberFormat="1" applyFont="1" applyFill="1" applyBorder="1" applyAlignment="1">
      <alignment horizontal="right" vertical="top" wrapText="1"/>
    </xf>
    <xf numFmtId="44" fontId="2" fillId="2" borderId="1" xfId="2" applyFont="1" applyFill="1" applyBorder="1" applyAlignment="1">
      <alignment horizontal="left" vertical="top" wrapText="1" indent="3"/>
    </xf>
    <xf numFmtId="0" fontId="3" fillId="3" borderId="10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right" vertical="top" wrapText="1" indent="1"/>
    </xf>
    <xf numFmtId="0" fontId="6" fillId="4" borderId="1" xfId="0" applyFont="1" applyFill="1" applyBorder="1" applyAlignment="1">
      <alignment horizontal="left" vertical="top" wrapText="1" indent="2"/>
    </xf>
    <xf numFmtId="0" fontId="6" fillId="4" borderId="5" xfId="0" applyFont="1" applyFill="1" applyBorder="1" applyAlignment="1">
      <alignment horizontal="left" vertical="top" wrapText="1" indent="1"/>
    </xf>
    <xf numFmtId="0" fontId="0" fillId="4" borderId="0" xfId="0" applyFill="1" applyAlignment="1">
      <alignment horizontal="left" vertical="top"/>
    </xf>
    <xf numFmtId="44" fontId="2" fillId="0" borderId="1" xfId="2" applyFont="1" applyBorder="1" applyAlignment="1">
      <alignment horizontal="left" vertical="top" wrapText="1" indent="4"/>
    </xf>
    <xf numFmtId="44" fontId="2" fillId="0" borderId="1" xfId="0" applyNumberFormat="1" applyFont="1" applyBorder="1" applyAlignment="1">
      <alignment horizontal="left" vertical="top" wrapText="1" indent="4"/>
    </xf>
    <xf numFmtId="166" fontId="3" fillId="0" borderId="1" xfId="2" applyNumberFormat="1" applyFont="1" applyBorder="1" applyAlignment="1">
      <alignment horizontal="right" vertical="top" wrapText="1"/>
    </xf>
    <xf numFmtId="44" fontId="2" fillId="0" borderId="1" xfId="2" applyFont="1" applyBorder="1" applyAlignment="1">
      <alignment horizontal="right" vertical="top" wrapText="1"/>
    </xf>
    <xf numFmtId="165" fontId="3" fillId="3" borderId="1" xfId="2" applyNumberFormat="1" applyFont="1" applyFill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7" fontId="3" fillId="0" borderId="1" xfId="0" applyNumberFormat="1" applyFont="1" applyBorder="1" applyAlignment="1">
      <alignment horizontal="right" vertical="top" wrapText="1"/>
    </xf>
    <xf numFmtId="167" fontId="2" fillId="0" borderId="1" xfId="0" applyNumberFormat="1" applyFont="1" applyBorder="1" applyAlignment="1">
      <alignment horizontal="right" vertical="top" wrapText="1"/>
    </xf>
    <xf numFmtId="44" fontId="3" fillId="0" borderId="1" xfId="2" applyFont="1" applyBorder="1" applyAlignment="1">
      <alignment horizontal="left" vertical="top" wrapText="1" indent="4"/>
    </xf>
    <xf numFmtId="168" fontId="3" fillId="0" borderId="1" xfId="0" applyNumberFormat="1" applyFont="1" applyBorder="1" applyAlignment="1">
      <alignment horizontal="right" vertical="top" wrapText="1"/>
    </xf>
    <xf numFmtId="168" fontId="0" fillId="0" borderId="0" xfId="0" applyNumberFormat="1" applyAlignment="1">
      <alignment horizontal="left" vertical="top"/>
    </xf>
    <xf numFmtId="1" fontId="20" fillId="0" borderId="1" xfId="0" applyNumberFormat="1" applyFont="1" applyBorder="1" applyAlignment="1">
      <alignment horizontal="left" vertical="top" indent="2" shrinkToFit="1"/>
    </xf>
    <xf numFmtId="165" fontId="11" fillId="0" borderId="1" xfId="0" applyNumberFormat="1" applyFont="1" applyBorder="1" applyAlignment="1">
      <alignment horizontal="right" vertical="top" wrapText="1"/>
    </xf>
    <xf numFmtId="44" fontId="11" fillId="0" borderId="1" xfId="0" applyNumberFormat="1" applyFont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left" vertical="top" wrapText="1" indent="3"/>
    </xf>
    <xf numFmtId="166" fontId="0" fillId="0" borderId="3" xfId="2" applyNumberFormat="1" applyFont="1" applyBorder="1" applyAlignment="1">
      <alignment horizontal="left" wrapText="1"/>
    </xf>
    <xf numFmtId="44" fontId="2" fillId="2" borderId="1" xfId="2" applyFont="1" applyFill="1" applyBorder="1" applyAlignment="1">
      <alignment horizontal="right" vertical="top" wrapText="1"/>
    </xf>
    <xf numFmtId="44" fontId="0" fillId="0" borderId="0" xfId="0" applyNumberFormat="1" applyAlignment="1">
      <alignment horizontal="left" vertical="top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right" vertical="top" wrapText="1" indent="1"/>
    </xf>
    <xf numFmtId="0" fontId="12" fillId="2" borderId="1" xfId="0" applyFont="1" applyFill="1" applyBorder="1" applyAlignment="1">
      <alignment horizontal="left" vertical="top" wrapText="1" indent="2"/>
    </xf>
    <xf numFmtId="0" fontId="12" fillId="2" borderId="1" xfId="0" applyFont="1" applyFill="1" applyBorder="1" applyAlignment="1">
      <alignment horizontal="left" vertical="top" wrapText="1" indent="1"/>
    </xf>
    <xf numFmtId="0" fontId="11" fillId="0" borderId="1" xfId="0" applyFont="1" applyBorder="1" applyAlignment="1">
      <alignment horizontal="center" vertical="top" wrapText="1"/>
    </xf>
    <xf numFmtId="44" fontId="11" fillId="0" borderId="1" xfId="2" applyFont="1" applyBorder="1" applyAlignment="1">
      <alignment horizontal="left" vertical="top" wrapText="1" indent="3"/>
    </xf>
    <xf numFmtId="44" fontId="10" fillId="2" borderId="1" xfId="2" applyFont="1" applyFill="1" applyBorder="1" applyAlignment="1">
      <alignment horizontal="left" vertical="top" wrapText="1" indent="2"/>
    </xf>
    <xf numFmtId="2" fontId="2" fillId="0" borderId="1" xfId="0" applyNumberFormat="1" applyFont="1" applyBorder="1" applyAlignment="1">
      <alignment horizontal="right" vertical="top" wrapText="1"/>
    </xf>
    <xf numFmtId="0" fontId="0" fillId="0" borderId="33" xfId="0" applyBorder="1"/>
    <xf numFmtId="0" fontId="0" fillId="0" borderId="12" xfId="0" applyBorder="1"/>
    <xf numFmtId="165" fontId="3" fillId="0" borderId="1" xfId="2" applyNumberFormat="1" applyFont="1" applyBorder="1" applyAlignment="1">
      <alignment horizontal="left" vertical="top" wrapText="1" indent="3"/>
    </xf>
    <xf numFmtId="165" fontId="3" fillId="0" borderId="1" xfId="2" applyNumberFormat="1" applyFont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4" fontId="2" fillId="2" borderId="1" xfId="0" applyNumberFormat="1" applyFont="1" applyFill="1" applyBorder="1" applyAlignment="1">
      <alignment horizontal="right" vertical="top" wrapText="1"/>
    </xf>
    <xf numFmtId="169" fontId="3" fillId="0" borderId="1" xfId="0" applyNumberFormat="1" applyFont="1" applyBorder="1" applyAlignment="1">
      <alignment horizontal="right" vertical="top" wrapText="1"/>
    </xf>
    <xf numFmtId="169" fontId="0" fillId="0" borderId="2" xfId="0" applyNumberFormat="1" applyBorder="1" applyAlignment="1">
      <alignment horizontal="left" wrapText="1"/>
    </xf>
    <xf numFmtId="2" fontId="3" fillId="0" borderId="1" xfId="0" applyNumberFormat="1" applyFont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left" vertical="top" wrapText="1" indent="3"/>
    </xf>
    <xf numFmtId="44" fontId="3" fillId="0" borderId="1" xfId="2" applyFont="1" applyBorder="1" applyAlignment="1">
      <alignment horizontal="center" vertical="top" wrapText="1"/>
    </xf>
    <xf numFmtId="17" fontId="14" fillId="0" borderId="18" xfId="0" applyNumberFormat="1" applyFont="1" applyBorder="1" applyAlignment="1">
      <alignment horizontal="center"/>
    </xf>
    <xf numFmtId="17" fontId="14" fillId="0" borderId="18" xfId="1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33" xfId="0" applyFont="1" applyBorder="1"/>
    <xf numFmtId="0" fontId="3" fillId="0" borderId="1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shrinkToFit="1"/>
    </xf>
    <xf numFmtId="165" fontId="3" fillId="0" borderId="4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indent="3" shrinkToFit="1"/>
    </xf>
    <xf numFmtId="44" fontId="3" fillId="4" borderId="1" xfId="2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left" vertical="top" wrapText="1" indent="4"/>
    </xf>
    <xf numFmtId="44" fontId="0" fillId="0" borderId="35" xfId="2" applyFont="1" applyBorder="1" applyAlignment="1">
      <alignment horizontal="right" vertical="top"/>
    </xf>
    <xf numFmtId="0" fontId="0" fillId="0" borderId="35" xfId="0" applyBorder="1" applyAlignment="1">
      <alignment horizontal="left" vertical="top"/>
    </xf>
    <xf numFmtId="44" fontId="0" fillId="0" borderId="35" xfId="2" applyFont="1" applyBorder="1" applyAlignment="1">
      <alignment horizontal="left" vertical="top"/>
    </xf>
    <xf numFmtId="0" fontId="0" fillId="0" borderId="1" xfId="0" applyBorder="1" applyAlignment="1">
      <alignment horizontal="right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43" fontId="19" fillId="2" borderId="2" xfId="1" applyFont="1" applyFill="1" applyBorder="1" applyAlignment="1">
      <alignment horizontal="center" vertical="top" wrapText="1"/>
    </xf>
    <xf numFmtId="43" fontId="19" fillId="2" borderId="4" xfId="1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9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14" fillId="0" borderId="3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44" fontId="3" fillId="0" borderId="1" xfId="2" applyFont="1" applyBorder="1" applyAlignment="1">
      <alignment horizontal="right" vertical="top" wrapText="1" inden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52425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3457574</xdr:colOff>
      <xdr:row>1</xdr:row>
      <xdr:rowOff>47625</xdr:rowOff>
    </xdr:from>
    <xdr:to>
      <xdr:col>0</xdr:col>
      <xdr:colOff>4124325</xdr:colOff>
      <xdr:row>4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4" y="257175"/>
          <a:ext cx="666751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428624</xdr:colOff>
      <xdr:row>2</xdr:row>
      <xdr:rowOff>19050</xdr:rowOff>
    </xdr:from>
    <xdr:to>
      <xdr:col>2</xdr:col>
      <xdr:colOff>457199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699" y="390525"/>
          <a:ext cx="542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1</xdr:row>
      <xdr:rowOff>85725</xdr:rowOff>
    </xdr:from>
    <xdr:to>
      <xdr:col>2</xdr:col>
      <xdr:colOff>457199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95275"/>
          <a:ext cx="74294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609599</xdr:colOff>
      <xdr:row>1</xdr:row>
      <xdr:rowOff>104775</xdr:rowOff>
    </xdr:from>
    <xdr:to>
      <xdr:col>2</xdr:col>
      <xdr:colOff>638174</xdr:colOff>
      <xdr:row>4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4" y="314325"/>
          <a:ext cx="933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F16CEB-B939-4007-A0F7-630836E27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D05D5EC-C906-4325-8420-7D84DDC7B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4" y="323850"/>
          <a:ext cx="8286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4" y="323850"/>
          <a:ext cx="8286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542924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4" y="3238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628650</xdr:colOff>
      <xdr:row>1</xdr:row>
      <xdr:rowOff>114300</xdr:rowOff>
    </xdr:from>
    <xdr:to>
      <xdr:col>2</xdr:col>
      <xdr:colOff>571499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323850"/>
          <a:ext cx="84772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7E84BF2-4C2D-4353-A060-AAD76A9BE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2743200</xdr:colOff>
      <xdr:row>1</xdr:row>
      <xdr:rowOff>19050</xdr:rowOff>
    </xdr:from>
    <xdr:to>
      <xdr:col>0</xdr:col>
      <xdr:colOff>3543299</xdr:colOff>
      <xdr:row>3</xdr:row>
      <xdr:rowOff>142875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478BA7E-E6B9-43E5-AB11-3FA7BF7A4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28600"/>
          <a:ext cx="80009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714374</xdr:colOff>
      <xdr:row>1</xdr:row>
      <xdr:rowOff>114300</xdr:rowOff>
    </xdr:from>
    <xdr:to>
      <xdr:col>2</xdr:col>
      <xdr:colOff>571498</xdr:colOff>
      <xdr:row>4</xdr:row>
      <xdr:rowOff>57150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799" y="323850"/>
          <a:ext cx="761999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0</xdr:rowOff>
    </xdr:from>
    <xdr:to>
      <xdr:col>0</xdr:col>
      <xdr:colOff>514350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3362325</xdr:colOff>
      <xdr:row>1</xdr:row>
      <xdr:rowOff>114300</xdr:rowOff>
    </xdr:from>
    <xdr:to>
      <xdr:col>0</xdr:col>
      <xdr:colOff>4191001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323850"/>
          <a:ext cx="82867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35242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</xdr:colOff>
      <xdr:row>1</xdr:row>
      <xdr:rowOff>76200</xdr:rowOff>
    </xdr:from>
    <xdr:to>
      <xdr:col>2</xdr:col>
      <xdr:colOff>504825</xdr:colOff>
      <xdr:row>4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285750"/>
          <a:ext cx="933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35242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</xdr:row>
      <xdr:rowOff>0</xdr:rowOff>
    </xdr:from>
    <xdr:to>
      <xdr:col>2</xdr:col>
      <xdr:colOff>476250</xdr:colOff>
      <xdr:row>4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71475"/>
          <a:ext cx="619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142875</xdr:rowOff>
    </xdr:from>
    <xdr:to>
      <xdr:col>2</xdr:col>
      <xdr:colOff>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19050</xdr:rowOff>
    </xdr:from>
    <xdr:to>
      <xdr:col>3</xdr:col>
      <xdr:colOff>266700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390525"/>
          <a:ext cx="8667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2</xdr:row>
      <xdr:rowOff>19050</xdr:rowOff>
    </xdr:from>
    <xdr:to>
      <xdr:col>2</xdr:col>
      <xdr:colOff>590550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0525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2752725</xdr:colOff>
      <xdr:row>1</xdr:row>
      <xdr:rowOff>142875</xdr:rowOff>
    </xdr:from>
    <xdr:to>
      <xdr:col>1</xdr:col>
      <xdr:colOff>3409950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352425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2</xdr:row>
      <xdr:rowOff>19050</xdr:rowOff>
    </xdr:from>
    <xdr:to>
      <xdr:col>2</xdr:col>
      <xdr:colOff>314325</xdr:colOff>
      <xdr:row>4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90525"/>
          <a:ext cx="7905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workbookViewId="0">
      <selection activeCell="B28" sqref="B28"/>
    </sheetView>
  </sheetViews>
  <sheetFormatPr defaultRowHeight="12.75" x14ac:dyDescent="0.2"/>
  <cols>
    <col min="1" max="1" width="50.33203125" customWidth="1"/>
    <col min="2" max="2" width="18" customWidth="1"/>
    <col min="3" max="3" width="20.1640625" customWidth="1"/>
    <col min="6" max="6" width="14.5" bestFit="1" customWidth="1"/>
  </cols>
  <sheetData>
    <row r="1" spans="1:6" ht="16.5" thickBot="1" x14ac:dyDescent="0.3">
      <c r="A1" s="145" t="s">
        <v>165</v>
      </c>
      <c r="B1" s="146"/>
      <c r="C1" s="146"/>
      <c r="D1" s="147"/>
    </row>
    <row r="2" spans="1:6" ht="13.5" thickBot="1" x14ac:dyDescent="0.25">
      <c r="A2" s="37" t="s">
        <v>166</v>
      </c>
      <c r="B2" s="38"/>
      <c r="C2" s="39"/>
      <c r="D2" s="40"/>
    </row>
    <row r="3" spans="1:6" ht="15" thickBot="1" x14ac:dyDescent="0.25">
      <c r="A3" s="41"/>
      <c r="B3" s="42"/>
      <c r="C3" s="43"/>
      <c r="D3" s="44"/>
    </row>
    <row r="4" spans="1:6" ht="15" thickBot="1" x14ac:dyDescent="0.25">
      <c r="A4" s="45" t="s">
        <v>167</v>
      </c>
      <c r="B4" s="148" t="s">
        <v>168</v>
      </c>
      <c r="C4" s="149"/>
      <c r="D4" s="150"/>
    </row>
    <row r="5" spans="1:6" x14ac:dyDescent="0.2">
      <c r="A5" s="121" t="s">
        <v>177</v>
      </c>
      <c r="B5" s="151" t="s">
        <v>169</v>
      </c>
      <c r="C5" s="152"/>
      <c r="D5" s="153"/>
    </row>
    <row r="6" spans="1:6" ht="29.1" customHeight="1" x14ac:dyDescent="0.2">
      <c r="A6" s="136" t="s">
        <v>0</v>
      </c>
      <c r="B6" s="137"/>
      <c r="C6" s="138"/>
    </row>
    <row r="7" spans="1:6" ht="8.1" customHeight="1" x14ac:dyDescent="0.2">
      <c r="A7" s="139"/>
      <c r="B7" s="140"/>
      <c r="C7" s="141"/>
    </row>
    <row r="8" spans="1:6" ht="12.75" customHeight="1" x14ac:dyDescent="0.2">
      <c r="A8" s="142" t="s">
        <v>1</v>
      </c>
      <c r="B8" s="143"/>
      <c r="C8" s="144"/>
    </row>
    <row r="9" spans="1:6" ht="11.45" customHeight="1" x14ac:dyDescent="0.2">
      <c r="A9" s="4" t="s">
        <v>2</v>
      </c>
      <c r="B9" s="5" t="s">
        <v>3</v>
      </c>
      <c r="C9" s="6" t="s">
        <v>4</v>
      </c>
    </row>
    <row r="10" spans="1:6" ht="11.45" customHeight="1" x14ac:dyDescent="0.2">
      <c r="A10" s="7" t="s">
        <v>5</v>
      </c>
      <c r="B10" s="72">
        <f>SUM(B11+B12+B13+B14+B15+B16+B17)</f>
        <v>41799.17854933333</v>
      </c>
      <c r="C10" s="109">
        <f>SUM(B10/B29)*100</f>
        <v>30.409865433652435</v>
      </c>
      <c r="F10" s="100"/>
    </row>
    <row r="11" spans="1:6" ht="11.45" customHeight="1" x14ac:dyDescent="0.2">
      <c r="A11" s="8" t="s">
        <v>6</v>
      </c>
      <c r="B11" s="71">
        <f>'Table 3'!F17</f>
        <v>23543.52</v>
      </c>
      <c r="C11" s="109">
        <f>SUM(B11/B29)*100</f>
        <v>17.128453234780704</v>
      </c>
    </row>
    <row r="12" spans="1:6" ht="11.45" customHeight="1" x14ac:dyDescent="0.2">
      <c r="A12" s="8" t="s">
        <v>7</v>
      </c>
      <c r="B12" s="9"/>
      <c r="C12" s="109">
        <f>SUM(B12/B29)*100</f>
        <v>0</v>
      </c>
    </row>
    <row r="13" spans="1:6" ht="11.45" customHeight="1" x14ac:dyDescent="0.2">
      <c r="A13" s="8" t="s">
        <v>9</v>
      </c>
      <c r="B13" s="71">
        <f>'Table 4'!F17</f>
        <v>7602.525216</v>
      </c>
      <c r="C13" s="109">
        <f>SUM(B13/B29)*100</f>
        <v>5.5310122542634694</v>
      </c>
    </row>
    <row r="14" spans="1:6" ht="11.45" customHeight="1" x14ac:dyDescent="0.2">
      <c r="A14" s="8" t="s">
        <v>10</v>
      </c>
      <c r="B14" s="9" t="s">
        <v>8</v>
      </c>
      <c r="C14" s="109">
        <f>SUM(B14/B29)*100</f>
        <v>0</v>
      </c>
    </row>
    <row r="15" spans="1:6" ht="11.45" customHeight="1" x14ac:dyDescent="0.2">
      <c r="A15" s="8" t="s">
        <v>11</v>
      </c>
      <c r="B15" s="71">
        <f>'Table 5'!F10</f>
        <v>2586.2399999999998</v>
      </c>
      <c r="C15" s="109">
        <f>SUM(B15/B29)*100</f>
        <v>1.8815491860995828</v>
      </c>
    </row>
    <row r="16" spans="1:6" ht="11.45" customHeight="1" x14ac:dyDescent="0.2">
      <c r="A16" s="8" t="s">
        <v>12</v>
      </c>
      <c r="B16" s="71">
        <f>'Table 6'!F10</f>
        <v>5760</v>
      </c>
      <c r="C16" s="109">
        <f>SUM(B16/B29)*100</f>
        <v>4.1905327084623227</v>
      </c>
    </row>
    <row r="17" spans="1:6" ht="11.45" customHeight="1" x14ac:dyDescent="0.2">
      <c r="A17" s="7" t="s">
        <v>13</v>
      </c>
      <c r="B17" s="72">
        <f>SUM('Table 7'!F19+'Table 8'!F17)</f>
        <v>2306.8933333333334</v>
      </c>
      <c r="C17" s="109">
        <f>SUM(B17/B29)*100</f>
        <v>1.6783180500463557</v>
      </c>
    </row>
    <row r="18" spans="1:6" ht="11.45" customHeight="1" x14ac:dyDescent="0.2">
      <c r="A18" s="7" t="s">
        <v>14</v>
      </c>
      <c r="B18" s="72">
        <f>B19</f>
        <v>67140.82223333334</v>
      </c>
      <c r="C18" s="109">
        <f>SUM(B18/B29)*100</f>
        <v>48.846495076707932</v>
      </c>
      <c r="F18" s="100"/>
    </row>
    <row r="19" spans="1:6" ht="11.45" customHeight="1" x14ac:dyDescent="0.2">
      <c r="A19" s="8" t="s">
        <v>15</v>
      </c>
      <c r="B19" s="71">
        <f>SUM(B20+B21+B22+B23+B24+B25+B26+B27)</f>
        <v>67140.82223333334</v>
      </c>
      <c r="C19" s="109">
        <f>SUM(B19/B29)*100</f>
        <v>48.846495076707932</v>
      </c>
    </row>
    <row r="20" spans="1:6" ht="11.45" customHeight="1" x14ac:dyDescent="0.2">
      <c r="A20" s="8" t="s">
        <v>16</v>
      </c>
      <c r="B20" s="71">
        <f>'Table 9'!F22</f>
        <v>14629.9769</v>
      </c>
      <c r="C20" s="109">
        <f>SUM(B20/B29)*100</f>
        <v>10.643645264496216</v>
      </c>
    </row>
    <row r="21" spans="1:6" ht="11.45" customHeight="1" x14ac:dyDescent="0.2">
      <c r="A21" s="8" t="s">
        <v>17</v>
      </c>
      <c r="B21" s="71">
        <f>'Table 10'!F22</f>
        <v>7267.4250000000002</v>
      </c>
      <c r="C21" s="109">
        <f>SUM(B21/B29)*100</f>
        <v>5.287219126527221</v>
      </c>
    </row>
    <row r="22" spans="1:6" ht="11.45" customHeight="1" x14ac:dyDescent="0.2">
      <c r="A22" s="8" t="s">
        <v>18</v>
      </c>
      <c r="B22" s="9">
        <f>'Table 11'!F11</f>
        <v>946.44999999999993</v>
      </c>
      <c r="C22" s="109">
        <f>SUM(B22/B29)*100</f>
        <v>0.68856418088961191</v>
      </c>
    </row>
    <row r="23" spans="1:6" ht="11.45" customHeight="1" x14ac:dyDescent="0.2">
      <c r="A23" s="8" t="s">
        <v>19</v>
      </c>
      <c r="B23" s="71">
        <f>'Table 12'!F18</f>
        <v>23074.742000000002</v>
      </c>
      <c r="C23" s="109">
        <f>SUM(B23/B29)*100</f>
        <v>16.787406439293285</v>
      </c>
    </row>
    <row r="24" spans="1:6" ht="11.45" customHeight="1" x14ac:dyDescent="0.2">
      <c r="A24" s="8" t="s">
        <v>20</v>
      </c>
      <c r="B24" s="71">
        <f>'Table 13'!F8</f>
        <v>11095.88</v>
      </c>
      <c r="C24" s="109">
        <f>SUM(B24/B29)*100</f>
        <v>8.0725083453425182</v>
      </c>
    </row>
    <row r="25" spans="1:6" ht="11.45" customHeight="1" x14ac:dyDescent="0.2">
      <c r="A25" s="8" t="s">
        <v>21</v>
      </c>
      <c r="B25" s="69">
        <f>'Table 14'!F12</f>
        <v>9387.92</v>
      </c>
      <c r="C25" s="109">
        <f>SUM(B25/B29)*100</f>
        <v>6.8299280945186824</v>
      </c>
    </row>
    <row r="26" spans="1:6" ht="11.45" customHeight="1" x14ac:dyDescent="0.2">
      <c r="A26" s="7" t="s">
        <v>22</v>
      </c>
      <c r="B26" s="86">
        <f>'Table 15'!F10</f>
        <v>528.4283333333334</v>
      </c>
      <c r="C26" s="109">
        <f>SUM(B26/B29)*100</f>
        <v>0.38444378731103551</v>
      </c>
    </row>
    <row r="27" spans="1:6" ht="11.45" customHeight="1" x14ac:dyDescent="0.2">
      <c r="A27" s="7" t="s">
        <v>23</v>
      </c>
      <c r="B27" s="86">
        <f>'Table 16'!F11</f>
        <v>210</v>
      </c>
      <c r="C27" s="109">
        <f>SUM(B27/B29)*100</f>
        <v>0.15277983832935549</v>
      </c>
    </row>
    <row r="28" spans="1:6" ht="11.45" customHeight="1" x14ac:dyDescent="0.2">
      <c r="A28" s="7" t="s">
        <v>24</v>
      </c>
      <c r="B28" s="72">
        <f>'Table 18'!B10</f>
        <v>28512.690813518933</v>
      </c>
      <c r="C28" s="109">
        <f>SUM(B28/B29)*100</f>
        <v>20.74363948963963</v>
      </c>
      <c r="F28" s="100"/>
    </row>
    <row r="29" spans="1:6" ht="11.45" customHeight="1" x14ac:dyDescent="0.2">
      <c r="A29" s="7" t="s">
        <v>25</v>
      </c>
      <c r="B29" s="72">
        <f>SUM(B10+B18+B28)</f>
        <v>137452.69159618561</v>
      </c>
      <c r="C29" s="109">
        <f>SUM(B29/B29)*100</f>
        <v>100</v>
      </c>
    </row>
    <row r="32" spans="1:6" x14ac:dyDescent="0.2">
      <c r="F32" s="100"/>
    </row>
    <row r="36" spans="3:3" x14ac:dyDescent="0.2">
      <c r="C36" s="100"/>
    </row>
  </sheetData>
  <mergeCells count="6">
    <mergeCell ref="A6:C6"/>
    <mergeCell ref="A7:C7"/>
    <mergeCell ref="A8:C8"/>
    <mergeCell ref="A1:D1"/>
    <mergeCell ref="B4:D4"/>
    <mergeCell ref="B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workbookViewId="0">
      <selection activeCell="F34" sqref="F34"/>
    </sheetView>
  </sheetViews>
  <sheetFormatPr defaultRowHeight="12.75" x14ac:dyDescent="0.2"/>
  <cols>
    <col min="1" max="1" width="34.83203125" customWidth="1"/>
    <col min="2" max="2" width="9.33203125" customWidth="1"/>
    <col min="3" max="3" width="13.83203125" customWidth="1"/>
    <col min="4" max="4" width="13" customWidth="1"/>
    <col min="5" max="5" width="13.33203125" customWidth="1"/>
    <col min="6" max="6" width="1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12" t="s">
        <v>30</v>
      </c>
      <c r="B6" s="12" t="s">
        <v>31</v>
      </c>
      <c r="C6" s="27" t="s">
        <v>32</v>
      </c>
      <c r="D6" s="14" t="s">
        <v>33</v>
      </c>
      <c r="E6" s="15" t="s">
        <v>34</v>
      </c>
      <c r="F6" s="16" t="s">
        <v>35</v>
      </c>
    </row>
    <row r="7" spans="1:6" ht="9.75" customHeight="1" x14ac:dyDescent="0.2">
      <c r="A7" s="8" t="s">
        <v>91</v>
      </c>
      <c r="B7" s="17" t="s">
        <v>60</v>
      </c>
      <c r="C7" s="28">
        <v>1</v>
      </c>
      <c r="D7" s="69">
        <f>'Table 9'!D7</f>
        <v>550000</v>
      </c>
      <c r="E7" s="71">
        <f>SUM(C7*D7)</f>
        <v>550000</v>
      </c>
      <c r="F7" s="156"/>
    </row>
    <row r="8" spans="1:6" ht="9.75" customHeight="1" x14ac:dyDescent="0.2">
      <c r="A8" s="8" t="s">
        <v>92</v>
      </c>
      <c r="B8" s="17" t="s">
        <v>39</v>
      </c>
      <c r="C8" s="17">
        <v>14.25</v>
      </c>
      <c r="D8" s="1"/>
      <c r="E8" s="1"/>
      <c r="F8" s="157"/>
    </row>
    <row r="9" spans="1:6" ht="9.75" customHeight="1" x14ac:dyDescent="0.2">
      <c r="A9" s="8" t="s">
        <v>93</v>
      </c>
      <c r="B9" s="17" t="s">
        <v>51</v>
      </c>
      <c r="C9" s="17">
        <v>290012</v>
      </c>
      <c r="D9" s="1"/>
      <c r="E9" s="1"/>
      <c r="F9" s="157"/>
    </row>
    <row r="10" spans="1:6" ht="9.75" customHeight="1" x14ac:dyDescent="0.2">
      <c r="A10" s="8" t="s">
        <v>94</v>
      </c>
      <c r="B10" s="17" t="s">
        <v>51</v>
      </c>
      <c r="C10" s="120" t="s">
        <v>95</v>
      </c>
      <c r="D10" s="1"/>
      <c r="E10" s="1"/>
      <c r="F10" s="157"/>
    </row>
    <row r="11" spans="1:6" ht="9.9499999999999993" customHeight="1" x14ac:dyDescent="0.2">
      <c r="A11" s="7" t="s">
        <v>96</v>
      </c>
      <c r="B11" s="6" t="s">
        <v>97</v>
      </c>
      <c r="C11" s="1"/>
      <c r="D11" s="5" t="s">
        <v>98</v>
      </c>
      <c r="E11" s="5" t="s">
        <v>98</v>
      </c>
      <c r="F11" s="157"/>
    </row>
    <row r="12" spans="1:6" ht="9.9499999999999993" customHeight="1" x14ac:dyDescent="0.2">
      <c r="A12" s="8" t="s">
        <v>99</v>
      </c>
      <c r="B12" s="17" t="s">
        <v>60</v>
      </c>
      <c r="C12" s="10">
        <v>1</v>
      </c>
      <c r="D12" s="71">
        <f>'Table 9'!D12</f>
        <v>266200</v>
      </c>
      <c r="E12" s="71">
        <f>SUM(C12*D12)</f>
        <v>266200</v>
      </c>
      <c r="F12" s="157"/>
    </row>
    <row r="13" spans="1:6" ht="9.75" customHeight="1" x14ac:dyDescent="0.2">
      <c r="A13" s="8" t="s">
        <v>92</v>
      </c>
      <c r="B13" s="17" t="s">
        <v>39</v>
      </c>
      <c r="C13" s="17">
        <v>14.25</v>
      </c>
      <c r="D13" s="1"/>
      <c r="E13" s="1"/>
      <c r="F13" s="157"/>
    </row>
    <row r="14" spans="1:6" ht="9.75" customHeight="1" x14ac:dyDescent="0.2">
      <c r="A14" s="8" t="s">
        <v>100</v>
      </c>
      <c r="B14" s="17" t="s">
        <v>51</v>
      </c>
      <c r="C14" s="120">
        <v>266200</v>
      </c>
      <c r="D14" s="1"/>
      <c r="E14" s="1"/>
      <c r="F14" s="157"/>
    </row>
    <row r="15" spans="1:6" ht="9.75" customHeight="1" x14ac:dyDescent="0.2">
      <c r="A15" s="8" t="s">
        <v>101</v>
      </c>
      <c r="B15" s="17" t="s">
        <v>51</v>
      </c>
      <c r="C15" s="17" t="s">
        <v>102</v>
      </c>
      <c r="D15" s="1"/>
      <c r="E15" s="1"/>
      <c r="F15" s="157"/>
    </row>
    <row r="16" spans="1:6" ht="9.75" customHeight="1" x14ac:dyDescent="0.2">
      <c r="A16" s="7" t="s">
        <v>103</v>
      </c>
      <c r="B16" s="6" t="s">
        <v>97</v>
      </c>
      <c r="C16" s="1"/>
      <c r="D16" s="5" t="s">
        <v>104</v>
      </c>
      <c r="E16" s="5" t="s">
        <v>104</v>
      </c>
      <c r="F16" s="157"/>
    </row>
    <row r="17" spans="1:6" ht="9.75" customHeight="1" x14ac:dyDescent="0.2">
      <c r="A17" s="7" t="s">
        <v>88</v>
      </c>
      <c r="B17" s="139"/>
      <c r="C17" s="140"/>
      <c r="D17" s="141"/>
      <c r="E17" s="5" t="s">
        <v>105</v>
      </c>
      <c r="F17" s="157"/>
    </row>
    <row r="18" spans="1:6" ht="9.9499999999999993" customHeight="1" x14ac:dyDescent="0.2">
      <c r="A18" s="7" t="s">
        <v>89</v>
      </c>
      <c r="B18" s="6" t="s">
        <v>90</v>
      </c>
      <c r="C18" s="10">
        <v>3</v>
      </c>
      <c r="D18" s="5">
        <f>SUM(D11+D16)</f>
        <v>2202.25</v>
      </c>
      <c r="E18" s="5">
        <f>SUM(C18*D18)</f>
        <v>6606.75</v>
      </c>
      <c r="F18" s="158"/>
    </row>
    <row r="19" spans="1:6" ht="9.9499999999999993" customHeight="1" x14ac:dyDescent="0.2">
      <c r="A19" s="159" t="s">
        <v>46</v>
      </c>
      <c r="B19" s="159"/>
      <c r="C19" s="159"/>
      <c r="D19" s="160"/>
      <c r="E19" s="9" t="s">
        <v>47</v>
      </c>
      <c r="F19" s="18">
        <f>SUM(E18)</f>
        <v>6606.75</v>
      </c>
    </row>
    <row r="20" spans="1:6" x14ac:dyDescent="0.2">
      <c r="F20" s="132"/>
    </row>
    <row r="21" spans="1:6" x14ac:dyDescent="0.2">
      <c r="A21" s="133" t="s">
        <v>189</v>
      </c>
      <c r="B21" s="133" t="s">
        <v>190</v>
      </c>
      <c r="C21" s="133">
        <v>10</v>
      </c>
      <c r="D21" s="134">
        <f>SUM(F19)</f>
        <v>6606.75</v>
      </c>
      <c r="E21" s="133"/>
      <c r="F21" s="132">
        <f>SUM(D21*0.1)</f>
        <v>660.67500000000007</v>
      </c>
    </row>
    <row r="22" spans="1:6" x14ac:dyDescent="0.2">
      <c r="E22" t="s">
        <v>191</v>
      </c>
      <c r="F22" s="132">
        <f>SUM(F19+F21)</f>
        <v>7267.4250000000002</v>
      </c>
    </row>
  </sheetData>
  <mergeCells count="8">
    <mergeCell ref="F7:F13"/>
    <mergeCell ref="F14:F18"/>
    <mergeCell ref="B17:D17"/>
    <mergeCell ref="A19:D19"/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workbookViewId="0">
      <selection activeCell="E30" sqref="E30"/>
    </sheetView>
  </sheetViews>
  <sheetFormatPr defaultRowHeight="12.75" x14ac:dyDescent="0.2"/>
  <cols>
    <col min="1" max="1" width="28.33203125" customWidth="1"/>
    <col min="2" max="2" width="11.5" customWidth="1"/>
    <col min="3" max="3" width="9.1640625" customWidth="1"/>
    <col min="4" max="4" width="14.5" customWidth="1"/>
    <col min="5" max="5" width="15.1640625" customWidth="1"/>
    <col min="6" max="6" width="15.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12" t="s">
        <v>30</v>
      </c>
      <c r="B6" s="12" t="s">
        <v>31</v>
      </c>
      <c r="C6" s="13" t="s">
        <v>32</v>
      </c>
      <c r="D6" s="16" t="s">
        <v>33</v>
      </c>
      <c r="E6" s="15" t="s">
        <v>34</v>
      </c>
      <c r="F6" s="16" t="s">
        <v>35</v>
      </c>
    </row>
    <row r="7" spans="1:6" ht="9.75" customHeight="1" x14ac:dyDescent="0.2">
      <c r="A7" s="8" t="s">
        <v>106</v>
      </c>
      <c r="B7" s="17" t="s">
        <v>60</v>
      </c>
      <c r="C7" s="9" t="s">
        <v>107</v>
      </c>
      <c r="D7" s="9">
        <v>5500</v>
      </c>
      <c r="E7" s="9">
        <f>SUM(D7*C7)</f>
        <v>11000</v>
      </c>
      <c r="F7" s="156"/>
    </row>
    <row r="8" spans="1:6" ht="9.75" customHeight="1" x14ac:dyDescent="0.2">
      <c r="A8" s="8" t="s">
        <v>108</v>
      </c>
      <c r="B8" s="17" t="s">
        <v>60</v>
      </c>
      <c r="C8" s="9" t="s">
        <v>107</v>
      </c>
      <c r="D8" s="9" t="s">
        <v>109</v>
      </c>
      <c r="E8" s="9" t="s">
        <v>110</v>
      </c>
      <c r="F8" s="157"/>
    </row>
    <row r="9" spans="1:6" ht="9.75" customHeight="1" x14ac:dyDescent="0.2">
      <c r="A9" s="8" t="s">
        <v>111</v>
      </c>
      <c r="B9" s="17" t="s">
        <v>60</v>
      </c>
      <c r="C9" s="9" t="s">
        <v>107</v>
      </c>
      <c r="D9" s="135">
        <v>112</v>
      </c>
      <c r="E9" s="9">
        <f>SUM(C9*D9)</f>
        <v>224</v>
      </c>
      <c r="F9" s="157"/>
    </row>
    <row r="10" spans="1:6" ht="9.9499999999999993" customHeight="1" x14ac:dyDescent="0.2">
      <c r="A10" s="7" t="s">
        <v>113</v>
      </c>
      <c r="B10" s="6" t="s">
        <v>82</v>
      </c>
      <c r="C10" s="11">
        <v>12</v>
      </c>
      <c r="D10" s="86">
        <f>SUM(E7+E8+E9)</f>
        <v>11357.4</v>
      </c>
      <c r="E10" s="109">
        <f>SUM(D10/C10)</f>
        <v>946.44999999999993</v>
      </c>
      <c r="F10" s="158"/>
    </row>
    <row r="11" spans="1:6" ht="9.9499999999999993" customHeight="1" x14ac:dyDescent="0.2">
      <c r="A11" s="159" t="s">
        <v>46</v>
      </c>
      <c r="B11" s="159"/>
      <c r="C11" s="159"/>
      <c r="D11" s="160"/>
      <c r="E11" s="9" t="s">
        <v>47</v>
      </c>
      <c r="F11" s="131">
        <f>E10</f>
        <v>946.44999999999993</v>
      </c>
    </row>
  </sheetData>
  <mergeCells count="6">
    <mergeCell ref="F7:F10"/>
    <mergeCell ref="A11:D11"/>
    <mergeCell ref="A1:F1"/>
    <mergeCell ref="A4:B4"/>
    <mergeCell ref="D4:F4"/>
    <mergeCell ref="D5:F5"/>
  </mergeCells>
  <phoneticPr fontId="2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workbookViewId="0">
      <selection activeCell="A17" sqref="A17"/>
    </sheetView>
  </sheetViews>
  <sheetFormatPr defaultRowHeight="12.75" x14ac:dyDescent="0.2"/>
  <cols>
    <col min="1" max="1" width="31" customWidth="1"/>
    <col min="2" max="2" width="12.6640625" customWidth="1"/>
    <col min="3" max="3" width="9" customWidth="1"/>
    <col min="4" max="4" width="11" customWidth="1"/>
    <col min="5" max="5" width="11.1640625" customWidth="1"/>
    <col min="6" max="6" width="22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12" t="s">
        <v>30</v>
      </c>
      <c r="B6" s="12" t="s">
        <v>31</v>
      </c>
      <c r="C6" s="16" t="s">
        <v>114</v>
      </c>
      <c r="D6" s="14" t="s">
        <v>33</v>
      </c>
      <c r="E6" s="15" t="s">
        <v>34</v>
      </c>
      <c r="F6" s="16" t="s">
        <v>35</v>
      </c>
    </row>
    <row r="7" spans="1:6" ht="9.75" customHeight="1" x14ac:dyDescent="0.2">
      <c r="A7" s="8" t="s">
        <v>115</v>
      </c>
      <c r="B7" s="17" t="s">
        <v>116</v>
      </c>
      <c r="C7" s="17" t="s">
        <v>117</v>
      </c>
      <c r="D7" s="30">
        <v>6.7</v>
      </c>
      <c r="E7" s="1"/>
      <c r="F7" s="156"/>
    </row>
    <row r="8" spans="1:6" ht="9.75" customHeight="1" x14ac:dyDescent="0.2">
      <c r="A8" s="8" t="s">
        <v>118</v>
      </c>
      <c r="B8" s="17" t="s">
        <v>119</v>
      </c>
      <c r="C8" s="30">
        <v>7814</v>
      </c>
      <c r="D8" s="30">
        <f>SUM(D7/C7)</f>
        <v>2.68</v>
      </c>
      <c r="E8" s="9">
        <f>SUM(C8*D8)</f>
        <v>20941.52</v>
      </c>
      <c r="F8" s="157"/>
    </row>
    <row r="9" spans="1:6" ht="9.75" customHeight="1" x14ac:dyDescent="0.2">
      <c r="A9" s="8" t="s">
        <v>120</v>
      </c>
      <c r="B9" s="17" t="s">
        <v>121</v>
      </c>
      <c r="C9" s="17" t="s">
        <v>122</v>
      </c>
      <c r="D9" s="9" t="s">
        <v>123</v>
      </c>
      <c r="E9" s="1"/>
      <c r="F9" s="157"/>
    </row>
    <row r="10" spans="1:6" ht="9.75" customHeight="1" x14ac:dyDescent="0.2">
      <c r="A10" s="8" t="s">
        <v>124</v>
      </c>
      <c r="B10" s="17" t="s">
        <v>119</v>
      </c>
      <c r="C10" s="30">
        <v>7814</v>
      </c>
      <c r="D10" s="9" t="s">
        <v>125</v>
      </c>
      <c r="E10" s="9">
        <f>SUM(C10*D10)</f>
        <v>898.61</v>
      </c>
      <c r="F10" s="157"/>
    </row>
    <row r="11" spans="1:6" ht="9.75" customHeight="1" x14ac:dyDescent="0.2">
      <c r="A11" s="8" t="s">
        <v>126</v>
      </c>
      <c r="B11" s="17" t="s">
        <v>121</v>
      </c>
      <c r="C11" s="17" t="s">
        <v>127</v>
      </c>
      <c r="D11" s="9" t="s">
        <v>128</v>
      </c>
      <c r="E11" s="1"/>
      <c r="F11" s="157"/>
    </row>
    <row r="12" spans="1:6" ht="9.75" customHeight="1" x14ac:dyDescent="0.2">
      <c r="A12" s="8" t="s">
        <v>129</v>
      </c>
      <c r="B12" s="17" t="s">
        <v>119</v>
      </c>
      <c r="C12" s="30">
        <v>7814</v>
      </c>
      <c r="D12" s="9" t="s">
        <v>130</v>
      </c>
      <c r="E12" s="9">
        <f>SUM(C12*D12)</f>
        <v>148.46600000000001</v>
      </c>
      <c r="F12" s="157"/>
    </row>
    <row r="13" spans="1:6" ht="9.75" customHeight="1" x14ac:dyDescent="0.2">
      <c r="A13" s="8" t="s">
        <v>131</v>
      </c>
      <c r="B13" s="17" t="s">
        <v>121</v>
      </c>
      <c r="C13" s="17" t="s">
        <v>132</v>
      </c>
      <c r="D13" s="9" t="s">
        <v>133</v>
      </c>
      <c r="E13" s="1"/>
      <c r="F13" s="157"/>
    </row>
    <row r="14" spans="1:6" ht="9.75" customHeight="1" x14ac:dyDescent="0.2">
      <c r="A14" s="8" t="s">
        <v>134</v>
      </c>
      <c r="B14" s="17" t="s">
        <v>119</v>
      </c>
      <c r="C14" s="30">
        <v>7814</v>
      </c>
      <c r="D14" s="9" t="s">
        <v>135</v>
      </c>
      <c r="E14" s="9">
        <f>SUM(C14*D14)</f>
        <v>687.63199999999995</v>
      </c>
      <c r="F14" s="157"/>
    </row>
    <row r="15" spans="1:6" ht="9.75" customHeight="1" x14ac:dyDescent="0.2">
      <c r="A15" s="8" t="s">
        <v>136</v>
      </c>
      <c r="B15" s="17" t="s">
        <v>137</v>
      </c>
      <c r="C15" s="17" t="s">
        <v>107</v>
      </c>
      <c r="D15" s="9" t="s">
        <v>138</v>
      </c>
      <c r="E15" s="1"/>
      <c r="F15" s="157"/>
    </row>
    <row r="16" spans="1:6" ht="9.75" customHeight="1" x14ac:dyDescent="0.2">
      <c r="A16" s="8" t="s">
        <v>139</v>
      </c>
      <c r="B16" s="17" t="s">
        <v>119</v>
      </c>
      <c r="C16" s="30">
        <v>7814</v>
      </c>
      <c r="D16" s="9" t="s">
        <v>140</v>
      </c>
      <c r="E16" s="9">
        <f>SUM(C16*D16)</f>
        <v>398.51399999999995</v>
      </c>
      <c r="F16" s="157"/>
    </row>
    <row r="17" spans="1:6" ht="9.9499999999999993" customHeight="1" x14ac:dyDescent="0.2">
      <c r="A17" s="7" t="s">
        <v>141</v>
      </c>
      <c r="B17" s="6" t="s">
        <v>142</v>
      </c>
      <c r="C17" s="1"/>
      <c r="D17" s="31">
        <f>SUM(D8+D10+D12+D14+D16)</f>
        <v>2.9530000000000007</v>
      </c>
      <c r="E17" s="1"/>
      <c r="F17" s="158"/>
    </row>
    <row r="18" spans="1:6" ht="9.9499999999999993" customHeight="1" x14ac:dyDescent="0.2">
      <c r="A18" s="168"/>
      <c r="B18" s="168"/>
      <c r="C18" s="168"/>
      <c r="D18" s="168"/>
      <c r="E18" s="169"/>
      <c r="F18" s="65">
        <f>SUM(E8+E10+E12+E14+E16)</f>
        <v>23074.742000000002</v>
      </c>
    </row>
    <row r="19" spans="1:6" x14ac:dyDescent="0.2">
      <c r="F19" s="60"/>
    </row>
  </sheetData>
  <mergeCells count="6">
    <mergeCell ref="F7:F17"/>
    <mergeCell ref="A18:E18"/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29AFE-9626-4835-A990-044C9E3FBA54}">
  <dimension ref="A1:F8"/>
  <sheetViews>
    <sheetView workbookViewId="0">
      <selection activeCell="A5" sqref="A5:B5"/>
    </sheetView>
  </sheetViews>
  <sheetFormatPr defaultRowHeight="12.75" x14ac:dyDescent="0.2"/>
  <cols>
    <col min="1" max="1" width="33.6640625" customWidth="1"/>
    <col min="2" max="2" width="11.83203125" bestFit="1" customWidth="1"/>
    <col min="3" max="3" width="11" bestFit="1" customWidth="1"/>
    <col min="4" max="4" width="10.83203125" customWidth="1"/>
    <col min="5" max="5" width="16.33203125" bestFit="1" customWidth="1"/>
    <col min="6" max="6" width="18.664062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76" t="s">
        <v>177</v>
      </c>
      <c r="B5" s="177"/>
      <c r="C5" s="55"/>
      <c r="D5" s="166" t="s">
        <v>169</v>
      </c>
      <c r="E5" s="166"/>
      <c r="F5" s="167"/>
    </row>
    <row r="6" spans="1:6" ht="9.9499999999999993" customHeight="1" x14ac:dyDescent="0.2">
      <c r="A6" s="101" t="s">
        <v>30</v>
      </c>
      <c r="B6" s="101" t="s">
        <v>31</v>
      </c>
      <c r="C6" s="102" t="s">
        <v>32</v>
      </c>
      <c r="D6" s="103" t="s">
        <v>33</v>
      </c>
      <c r="E6" s="104" t="s">
        <v>34</v>
      </c>
      <c r="F6" s="105" t="s">
        <v>35</v>
      </c>
    </row>
    <row r="7" spans="1:6" ht="9.9499999999999993" customHeight="1" x14ac:dyDescent="0.2">
      <c r="A7" s="62" t="s">
        <v>143</v>
      </c>
      <c r="B7" s="106" t="s">
        <v>144</v>
      </c>
      <c r="C7" s="30">
        <f>'Table 12'!C8</f>
        <v>7814</v>
      </c>
      <c r="D7" s="64">
        <v>1.42</v>
      </c>
      <c r="E7" s="107">
        <f>SUM(C7*D7)</f>
        <v>11095.88</v>
      </c>
      <c r="F7" s="2"/>
    </row>
    <row r="8" spans="1:6" ht="9.9499999999999993" customHeight="1" x14ac:dyDescent="0.2">
      <c r="A8" s="168"/>
      <c r="B8" s="168"/>
      <c r="C8" s="168"/>
      <c r="D8" s="168"/>
      <c r="E8" s="169"/>
      <c r="F8" s="108">
        <f>SUM(E7)</f>
        <v>11095.88</v>
      </c>
    </row>
  </sheetData>
  <mergeCells count="6">
    <mergeCell ref="A8:E8"/>
    <mergeCell ref="A1:F1"/>
    <mergeCell ref="A4:B4"/>
    <mergeCell ref="D4:F4"/>
    <mergeCell ref="A5:B5"/>
    <mergeCell ref="D5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workbookViewId="0">
      <selection activeCell="E29" sqref="E29:F29"/>
    </sheetView>
  </sheetViews>
  <sheetFormatPr defaultRowHeight="12.75" x14ac:dyDescent="0.2"/>
  <cols>
    <col min="1" max="1" width="30.33203125" customWidth="1"/>
    <col min="2" max="2" width="8.6640625" customWidth="1"/>
    <col min="3" max="3" width="10.33203125" customWidth="1"/>
    <col min="4" max="4" width="13.1640625" customWidth="1"/>
    <col min="5" max="5" width="15.1640625" customWidth="1"/>
    <col min="6" max="6" width="19.164062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12" t="s">
        <v>30</v>
      </c>
      <c r="B6" s="12" t="s">
        <v>31</v>
      </c>
      <c r="C6" s="13" t="s">
        <v>32</v>
      </c>
      <c r="D6" s="14" t="s">
        <v>33</v>
      </c>
      <c r="E6" s="15" t="s">
        <v>34</v>
      </c>
      <c r="F6" s="16" t="s">
        <v>35</v>
      </c>
    </row>
    <row r="7" spans="1:6" ht="9.75" customHeight="1" x14ac:dyDescent="0.2">
      <c r="A7" s="8" t="s">
        <v>145</v>
      </c>
      <c r="B7" s="17" t="s">
        <v>60</v>
      </c>
      <c r="C7" s="10">
        <v>6</v>
      </c>
      <c r="D7" s="9">
        <v>2300</v>
      </c>
      <c r="E7" s="69">
        <f>SUM(C7*D7)</f>
        <v>13800</v>
      </c>
      <c r="F7" s="156"/>
    </row>
    <row r="8" spans="1:6" ht="9.75" customHeight="1" x14ac:dyDescent="0.2">
      <c r="A8" s="8" t="s">
        <v>146</v>
      </c>
      <c r="B8" s="17" t="s">
        <v>60</v>
      </c>
      <c r="C8" s="10">
        <v>0</v>
      </c>
      <c r="D8" s="1"/>
      <c r="E8" s="1"/>
      <c r="F8" s="157"/>
    </row>
    <row r="9" spans="1:6" ht="9.75" customHeight="1" x14ac:dyDescent="0.2">
      <c r="A9" s="8" t="s">
        <v>147</v>
      </c>
      <c r="B9" s="17" t="s">
        <v>60</v>
      </c>
      <c r="C9" s="17">
        <v>12</v>
      </c>
      <c r="D9" s="29">
        <v>600</v>
      </c>
      <c r="E9" s="178">
        <f>SUM(C9*D9)</f>
        <v>7200</v>
      </c>
      <c r="F9" s="157"/>
    </row>
    <row r="10" spans="1:6" ht="9.75" customHeight="1" x14ac:dyDescent="0.2">
      <c r="A10" s="8" t="s">
        <v>192</v>
      </c>
      <c r="B10" s="17" t="s">
        <v>148</v>
      </c>
      <c r="C10" s="94">
        <v>75000</v>
      </c>
      <c r="D10" s="71">
        <f>SUM(E7+E9)</f>
        <v>21000</v>
      </c>
      <c r="E10" s="92">
        <f>SUM(D10/C10)</f>
        <v>0.28000000000000003</v>
      </c>
      <c r="F10" s="157"/>
    </row>
    <row r="11" spans="1:6" ht="9.9499999999999993" customHeight="1" x14ac:dyDescent="0.2">
      <c r="A11" s="8" t="s">
        <v>149</v>
      </c>
      <c r="B11" s="17" t="s">
        <v>119</v>
      </c>
      <c r="C11" s="30">
        <v>7814</v>
      </c>
      <c r="D11" s="92">
        <f>E10</f>
        <v>0.28000000000000003</v>
      </c>
      <c r="E11" s="116">
        <f>SUM(C11*D11)</f>
        <v>2187.92</v>
      </c>
      <c r="F11" s="158"/>
    </row>
    <row r="12" spans="1:6" ht="9.9499999999999993" customHeight="1" x14ac:dyDescent="0.2">
      <c r="A12" s="8" t="s">
        <v>143</v>
      </c>
      <c r="B12" s="17" t="s">
        <v>144</v>
      </c>
      <c r="C12" s="30"/>
      <c r="D12" s="92"/>
      <c r="E12" s="91"/>
      <c r="F12" s="117">
        <f>SUM(E9+E11)</f>
        <v>9387.92</v>
      </c>
    </row>
    <row r="20" spans="5:5" x14ac:dyDescent="0.2">
      <c r="E20" s="93"/>
    </row>
    <row r="21" spans="5:5" x14ac:dyDescent="0.2">
      <c r="E21" s="93"/>
    </row>
  </sheetData>
  <mergeCells count="5">
    <mergeCell ref="F7:F11"/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workbookViewId="0">
      <selection activeCell="A5" sqref="A5"/>
    </sheetView>
  </sheetViews>
  <sheetFormatPr defaultRowHeight="12.75" x14ac:dyDescent="0.2"/>
  <cols>
    <col min="1" max="1" width="28" customWidth="1"/>
    <col min="2" max="2" width="10.83203125" customWidth="1"/>
    <col min="3" max="3" width="8" customWidth="1"/>
    <col min="4" max="4" width="11.6640625" customWidth="1"/>
    <col min="5" max="5" width="15.1640625" customWidth="1"/>
    <col min="6" max="6" width="12.664062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12" t="s">
        <v>30</v>
      </c>
      <c r="B6" s="12" t="s">
        <v>31</v>
      </c>
      <c r="C6" s="12" t="s">
        <v>32</v>
      </c>
      <c r="D6" s="14" t="s">
        <v>33</v>
      </c>
      <c r="E6" s="15" t="s">
        <v>34</v>
      </c>
      <c r="F6" s="16" t="s">
        <v>35</v>
      </c>
    </row>
    <row r="7" spans="1:6" ht="9.75" customHeight="1" x14ac:dyDescent="0.2">
      <c r="A7" s="8" t="s">
        <v>150</v>
      </c>
      <c r="B7" s="17" t="s">
        <v>151</v>
      </c>
      <c r="C7" s="10">
        <v>3</v>
      </c>
      <c r="D7" s="9">
        <v>69.900000000000006</v>
      </c>
      <c r="E7" s="118">
        <f>SUM(D7*C7)/12</f>
        <v>17.475000000000001</v>
      </c>
      <c r="F7" s="156"/>
    </row>
    <row r="8" spans="1:6" ht="9.75" customHeight="1" x14ac:dyDescent="0.2">
      <c r="A8" s="8" t="s">
        <v>152</v>
      </c>
      <c r="B8" s="17" t="s">
        <v>151</v>
      </c>
      <c r="C8" s="10">
        <v>4</v>
      </c>
      <c r="D8" s="9" t="s">
        <v>153</v>
      </c>
      <c r="E8" s="118">
        <f>SUM(D8*C8)/12</f>
        <v>19.286666666666665</v>
      </c>
      <c r="F8" s="157"/>
    </row>
    <row r="9" spans="1:6" ht="9.9499999999999993" customHeight="1" x14ac:dyDescent="0.2">
      <c r="A9" s="8" t="s">
        <v>154</v>
      </c>
      <c r="B9" s="17" t="s">
        <v>155</v>
      </c>
      <c r="C9" s="10">
        <v>2</v>
      </c>
      <c r="D9" s="9" t="s">
        <v>156</v>
      </c>
      <c r="E9" s="118">
        <f>SUM(D9*C9)/12</f>
        <v>491.66666666666669</v>
      </c>
      <c r="F9" s="158"/>
    </row>
    <row r="10" spans="1:6" ht="9.9499999999999993" customHeight="1" x14ac:dyDescent="0.2">
      <c r="A10" s="168"/>
      <c r="B10" s="168"/>
      <c r="C10" s="168"/>
      <c r="D10" s="168"/>
      <c r="E10" s="169"/>
      <c r="F10" s="119">
        <f>SUM(E9+E8+E7)</f>
        <v>528.4283333333334</v>
      </c>
    </row>
  </sheetData>
  <mergeCells count="6">
    <mergeCell ref="F7:F9"/>
    <mergeCell ref="A10:E10"/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workbookViewId="0">
      <selection activeCell="A5" sqref="A5"/>
    </sheetView>
  </sheetViews>
  <sheetFormatPr defaultRowHeight="12.75" x14ac:dyDescent="0.2"/>
  <cols>
    <col min="1" max="1" width="41.1640625" customWidth="1"/>
    <col min="2" max="2" width="9" customWidth="1"/>
    <col min="3" max="3" width="6.83203125" customWidth="1"/>
    <col min="4" max="4" width="9.1640625" customWidth="1"/>
    <col min="5" max="5" width="11.83203125" customWidth="1"/>
    <col min="6" max="6" width="17.164062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12" t="s">
        <v>30</v>
      </c>
      <c r="B6" s="12" t="s">
        <v>31</v>
      </c>
      <c r="C6" s="12" t="s">
        <v>32</v>
      </c>
      <c r="D6" s="14" t="s">
        <v>33</v>
      </c>
      <c r="E6" s="15" t="s">
        <v>34</v>
      </c>
      <c r="F6" s="16" t="s">
        <v>35</v>
      </c>
    </row>
    <row r="7" spans="1:6" ht="9.75" customHeight="1" x14ac:dyDescent="0.2">
      <c r="A7" s="8" t="s">
        <v>157</v>
      </c>
      <c r="B7" s="32" t="s">
        <v>158</v>
      </c>
      <c r="C7" s="10">
        <v>2</v>
      </c>
      <c r="D7" s="9">
        <v>420</v>
      </c>
      <c r="E7" s="66">
        <f>SUM(C7*D7)</f>
        <v>840</v>
      </c>
      <c r="F7" s="156"/>
    </row>
    <row r="8" spans="1:6" ht="9.75" customHeight="1" x14ac:dyDescent="0.2">
      <c r="A8" s="62" t="s">
        <v>170</v>
      </c>
      <c r="B8" s="63" t="s">
        <v>171</v>
      </c>
      <c r="C8" s="10">
        <v>12</v>
      </c>
      <c r="D8" s="64">
        <v>480</v>
      </c>
      <c r="E8" s="95">
        <f>SUM(D8/C8)</f>
        <v>40</v>
      </c>
      <c r="F8" s="157"/>
    </row>
    <row r="9" spans="1:6" ht="9.75" customHeight="1" x14ac:dyDescent="0.2">
      <c r="A9" s="8" t="s">
        <v>159</v>
      </c>
      <c r="B9" s="17" t="s">
        <v>60</v>
      </c>
      <c r="C9" s="10">
        <v>2</v>
      </c>
      <c r="D9" s="9">
        <v>85</v>
      </c>
      <c r="E9" s="69">
        <f>SUM(C9*D9)</f>
        <v>170</v>
      </c>
      <c r="F9" s="157"/>
    </row>
    <row r="10" spans="1:6" ht="9.9499999999999993" customHeight="1" x14ac:dyDescent="0.2">
      <c r="A10" s="62" t="s">
        <v>172</v>
      </c>
      <c r="B10" s="63" t="s">
        <v>171</v>
      </c>
      <c r="C10" s="10">
        <v>1</v>
      </c>
      <c r="D10" s="96">
        <f>E9</f>
        <v>170</v>
      </c>
      <c r="E10" s="95">
        <f>D10</f>
        <v>170</v>
      </c>
      <c r="F10" s="158"/>
    </row>
    <row r="11" spans="1:6" ht="9.9499999999999993" customHeight="1" x14ac:dyDescent="0.2">
      <c r="A11" s="159" t="s">
        <v>46</v>
      </c>
      <c r="B11" s="159"/>
      <c r="C11" s="159"/>
      <c r="D11" s="160"/>
      <c r="E11" s="9" t="s">
        <v>47</v>
      </c>
      <c r="F11" s="97">
        <f>SUM(E10+E8)</f>
        <v>210</v>
      </c>
    </row>
  </sheetData>
  <mergeCells count="6">
    <mergeCell ref="F7:F10"/>
    <mergeCell ref="A11:D11"/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9"/>
  <sheetViews>
    <sheetView workbookViewId="0">
      <selection activeCell="A5" sqref="A5"/>
    </sheetView>
  </sheetViews>
  <sheetFormatPr defaultRowHeight="12.75" x14ac:dyDescent="0.2"/>
  <cols>
    <col min="1" max="1" width="62.6640625" customWidth="1"/>
    <col min="2" max="2" width="15.6640625" customWidth="1"/>
    <col min="3" max="3" width="0.5" customWidth="1"/>
    <col min="4" max="4" width="26.33203125" customWidth="1"/>
    <col min="6" max="6" width="0.8320312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7"/>
      <c r="B6" s="99"/>
    </row>
    <row r="7" spans="1:6" ht="8.25" customHeight="1" x14ac:dyDescent="0.2">
      <c r="A7" s="3"/>
      <c r="B7" s="98"/>
    </row>
    <row r="8" spans="1:6" ht="12.75" customHeight="1" x14ac:dyDescent="0.2">
      <c r="A8" s="7" t="s">
        <v>160</v>
      </c>
      <c r="B8" s="115">
        <f>SUM('Table 3'!F17+'Table 4'!F17+'Table 5'!F10+'Table 6'!F10+'Table 7'!F19+'Table 8'!F17+'Table 9'!F19+'Table 10'!F19+'Table 11'!F11+'Table 12'!F18+'Table 13'!F8+'Table 14'!F12+'Table 15'!F10+'Table 16'!F11)</f>
        <v>106949.32788266666</v>
      </c>
    </row>
    <row r="9" spans="1:6" ht="18.75" customHeight="1" x14ac:dyDescent="0.2">
      <c r="A9" s="33" t="s">
        <v>24</v>
      </c>
      <c r="B9" s="34"/>
    </row>
  </sheetData>
  <mergeCells count="4"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2"/>
  <sheetViews>
    <sheetView tabSelected="1" workbookViewId="0">
      <selection activeCell="D19" sqref="D19"/>
    </sheetView>
  </sheetViews>
  <sheetFormatPr defaultRowHeight="12.75" x14ac:dyDescent="0.2"/>
  <cols>
    <col min="1" max="1" width="26.33203125" customWidth="1"/>
    <col min="2" max="2" width="16.5" customWidth="1"/>
    <col min="3" max="3" width="7.33203125" customWidth="1"/>
    <col min="4" max="4" width="13.83203125" customWidth="1"/>
    <col min="5" max="5" width="17.1640625" customWidth="1"/>
    <col min="6" max="6" width="14.8320312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12" t="s">
        <v>30</v>
      </c>
      <c r="B6" s="12" t="s">
        <v>31</v>
      </c>
      <c r="C6" s="13" t="s">
        <v>32</v>
      </c>
      <c r="D6" s="14" t="s">
        <v>33</v>
      </c>
      <c r="E6" s="15" t="s">
        <v>34</v>
      </c>
      <c r="F6" s="16" t="s">
        <v>35</v>
      </c>
    </row>
    <row r="7" spans="1:6" ht="9.9499999999999993" customHeight="1" thickBot="1" x14ac:dyDescent="0.25">
      <c r="A7" s="8" t="s">
        <v>161</v>
      </c>
      <c r="B7" s="17" t="s">
        <v>39</v>
      </c>
      <c r="C7" s="9" t="s">
        <v>162</v>
      </c>
      <c r="D7" s="113">
        <f>SUM('Table 17'!B8)</f>
        <v>106949.32788266666</v>
      </c>
      <c r="E7" s="112">
        <f>SUM(D7*0.2666)</f>
        <v>28512.690813518933</v>
      </c>
      <c r="F7" s="35"/>
    </row>
    <row r="8" spans="1:6" ht="13.5" thickBot="1" x14ac:dyDescent="0.25">
      <c r="F8" s="61">
        <f>SUM(D7*1.2666)</f>
        <v>135462.01869618558</v>
      </c>
    </row>
    <row r="10" spans="1:6" ht="19.5" x14ac:dyDescent="0.2">
      <c r="A10" s="7" t="s">
        <v>163</v>
      </c>
      <c r="B10" s="114">
        <f>SUM(E7)</f>
        <v>28512.690813518933</v>
      </c>
    </row>
    <row r="11" spans="1:6" x14ac:dyDescent="0.2">
      <c r="A11" s="36"/>
      <c r="B11" s="36"/>
    </row>
    <row r="12" spans="1:6" ht="19.5" x14ac:dyDescent="0.2">
      <c r="A12" s="7" t="s">
        <v>164</v>
      </c>
      <c r="B12" s="115">
        <f>SUM(F8)</f>
        <v>135462.01869618558</v>
      </c>
    </row>
  </sheetData>
  <mergeCells count="4"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5" sqref="A5"/>
    </sheetView>
  </sheetViews>
  <sheetFormatPr defaultRowHeight="12.75" x14ac:dyDescent="0.2"/>
  <cols>
    <col min="1" max="1" width="57.6640625" customWidth="1"/>
    <col min="2" max="2" width="15.1640625" customWidth="1"/>
  </cols>
  <sheetData>
    <row r="1" spans="1:4" ht="16.5" thickBot="1" x14ac:dyDescent="0.3">
      <c r="A1" s="145" t="s">
        <v>165</v>
      </c>
      <c r="B1" s="146"/>
      <c r="C1" s="146"/>
      <c r="D1" s="147"/>
    </row>
    <row r="2" spans="1:4" ht="13.5" thickBot="1" x14ac:dyDescent="0.25">
      <c r="A2" s="37" t="s">
        <v>166</v>
      </c>
      <c r="B2" s="38"/>
      <c r="C2" s="39"/>
      <c r="D2" s="40"/>
    </row>
    <row r="3" spans="1:4" ht="15" thickBot="1" x14ac:dyDescent="0.25">
      <c r="A3" s="41"/>
      <c r="B3" s="42"/>
      <c r="C3" s="43"/>
      <c r="D3" s="44"/>
    </row>
    <row r="4" spans="1:4" ht="15" thickBot="1" x14ac:dyDescent="0.25">
      <c r="A4" s="45" t="s">
        <v>167</v>
      </c>
      <c r="B4" s="148" t="s">
        <v>168</v>
      </c>
      <c r="C4" s="149"/>
      <c r="D4" s="150"/>
    </row>
    <row r="5" spans="1:4" x14ac:dyDescent="0.2">
      <c r="A5" s="122" t="s">
        <v>177</v>
      </c>
      <c r="B5" s="151" t="s">
        <v>169</v>
      </c>
      <c r="C5" s="152"/>
      <c r="D5" s="153"/>
    </row>
    <row r="6" spans="1:4" ht="12.75" customHeight="1" x14ac:dyDescent="0.2">
      <c r="A6" s="154" t="s">
        <v>173</v>
      </c>
      <c r="B6" s="155"/>
    </row>
    <row r="7" spans="1:4" ht="11.1" customHeight="1" x14ac:dyDescent="0.2">
      <c r="A7" s="6" t="s">
        <v>26</v>
      </c>
      <c r="B7" s="5" t="s">
        <v>27</v>
      </c>
    </row>
    <row r="8" spans="1:4" ht="11.1" customHeight="1" x14ac:dyDescent="0.2">
      <c r="A8" s="8" t="s">
        <v>6</v>
      </c>
      <c r="B8" s="10">
        <v>6</v>
      </c>
    </row>
    <row r="9" spans="1:4" ht="11.1" customHeight="1" x14ac:dyDescent="0.2">
      <c r="A9" s="8" t="s">
        <v>7</v>
      </c>
      <c r="B9" s="10">
        <v>0</v>
      </c>
    </row>
    <row r="10" spans="1:4" ht="11.1" customHeight="1" x14ac:dyDescent="0.2">
      <c r="A10" s="8" t="s">
        <v>9</v>
      </c>
      <c r="B10" s="10">
        <v>2</v>
      </c>
    </row>
    <row r="11" spans="1:4" ht="11.1" customHeight="1" x14ac:dyDescent="0.2">
      <c r="A11" s="8" t="s">
        <v>10</v>
      </c>
      <c r="B11" s="10">
        <v>0</v>
      </c>
    </row>
    <row r="12" spans="1:4" ht="11.1" customHeight="1" x14ac:dyDescent="0.2">
      <c r="A12" s="7" t="s">
        <v>28</v>
      </c>
      <c r="B12" s="11">
        <v>8</v>
      </c>
    </row>
    <row r="13" spans="1:4" ht="11.1" customHeight="1" x14ac:dyDescent="0.2">
      <c r="A13" s="139"/>
      <c r="B13" s="141"/>
    </row>
    <row r="14" spans="1:4" ht="11.1" customHeight="1" x14ac:dyDescent="0.2">
      <c r="A14" s="6" t="s">
        <v>29</v>
      </c>
      <c r="B14" s="5" t="s">
        <v>27</v>
      </c>
    </row>
    <row r="15" spans="1:4" ht="11.1" customHeight="1" x14ac:dyDescent="0.2">
      <c r="A15" s="8" t="s">
        <v>15</v>
      </c>
      <c r="B15" s="10">
        <v>2</v>
      </c>
    </row>
  </sheetData>
  <mergeCells count="5">
    <mergeCell ref="A6:B6"/>
    <mergeCell ref="A13:B13"/>
    <mergeCell ref="A1:D1"/>
    <mergeCell ref="B4:D4"/>
    <mergeCell ref="B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E12" sqref="A12:E12"/>
    </sheetView>
  </sheetViews>
  <sheetFormatPr defaultRowHeight="12.75" x14ac:dyDescent="0.2"/>
  <cols>
    <col min="1" max="1" width="28.6640625" customWidth="1"/>
    <col min="2" max="2" width="10" customWidth="1"/>
    <col min="3" max="3" width="8.5" customWidth="1"/>
    <col min="4" max="4" width="14.5" customWidth="1"/>
    <col min="5" max="5" width="15.1640625" customWidth="1"/>
    <col min="6" max="6" width="18" customWidth="1"/>
  </cols>
  <sheetData>
    <row r="1" spans="1:6" ht="16.5" thickBot="1" x14ac:dyDescent="0.3">
      <c r="A1" s="161" t="s">
        <v>165</v>
      </c>
      <c r="B1" s="162"/>
      <c r="C1" s="162"/>
      <c r="D1" s="162"/>
      <c r="E1" s="162"/>
      <c r="F1" s="162"/>
    </row>
    <row r="2" spans="1:6" x14ac:dyDescent="0.2">
      <c r="A2" s="163" t="s">
        <v>166</v>
      </c>
      <c r="B2" s="164"/>
      <c r="C2" s="46"/>
      <c r="D2" s="47"/>
    </row>
    <row r="3" spans="1:6" ht="15" thickBot="1" x14ac:dyDescent="0.25">
      <c r="A3" s="48"/>
      <c r="B3" s="49"/>
      <c r="C3" s="50"/>
      <c r="D3" s="51"/>
    </row>
    <row r="4" spans="1:6" ht="15" thickBot="1" x14ac:dyDescent="0.25">
      <c r="A4" s="48" t="s">
        <v>167</v>
      </c>
      <c r="B4" s="52"/>
      <c r="C4" s="53"/>
      <c r="D4" s="165" t="s">
        <v>168</v>
      </c>
      <c r="E4" s="165"/>
      <c r="F4" s="165"/>
    </row>
    <row r="5" spans="1:6" x14ac:dyDescent="0.2">
      <c r="A5" s="123" t="s">
        <v>177</v>
      </c>
      <c r="B5" s="54"/>
      <c r="C5" s="55"/>
      <c r="D5" s="166" t="s">
        <v>169</v>
      </c>
      <c r="E5" s="166"/>
      <c r="F5" s="167"/>
    </row>
    <row r="6" spans="1:6" ht="10.35" customHeight="1" x14ac:dyDescent="0.2">
      <c r="A6" s="12" t="s">
        <v>30</v>
      </c>
      <c r="B6" s="12" t="s">
        <v>31</v>
      </c>
      <c r="C6" s="13" t="s">
        <v>32</v>
      </c>
      <c r="D6" s="14" t="s">
        <v>33</v>
      </c>
      <c r="E6" s="15" t="s">
        <v>34</v>
      </c>
      <c r="F6" s="16" t="s">
        <v>35</v>
      </c>
    </row>
    <row r="7" spans="1:6" ht="9.75" customHeight="1" x14ac:dyDescent="0.2">
      <c r="A7" s="8" t="s">
        <v>36</v>
      </c>
      <c r="B7" s="17" t="s">
        <v>37</v>
      </c>
      <c r="C7" s="10">
        <v>1</v>
      </c>
      <c r="D7" s="68">
        <v>1949.91</v>
      </c>
      <c r="E7" s="74">
        <f>SUM(C7*D7)</f>
        <v>1949.91</v>
      </c>
      <c r="F7" s="156"/>
    </row>
    <row r="8" spans="1:6" ht="9.75" customHeight="1" x14ac:dyDescent="0.2">
      <c r="A8" s="8" t="s">
        <v>178</v>
      </c>
      <c r="B8" s="17" t="s">
        <v>179</v>
      </c>
      <c r="C8" s="125">
        <v>10</v>
      </c>
      <c r="D8" s="118">
        <f>SUM(D7/220*2)</f>
        <v>17.726454545454548</v>
      </c>
      <c r="E8" s="118">
        <f>SUM(C8*D8)</f>
        <v>177.26454545454547</v>
      </c>
      <c r="F8" s="157"/>
    </row>
    <row r="9" spans="1:6" ht="9.75" customHeight="1" x14ac:dyDescent="0.2">
      <c r="A9" s="8" t="s">
        <v>180</v>
      </c>
      <c r="B9" s="17" t="s">
        <v>179</v>
      </c>
      <c r="C9" s="1"/>
      <c r="D9" s="9" t="s">
        <v>181</v>
      </c>
      <c r="E9" s="29" t="s">
        <v>112</v>
      </c>
      <c r="F9" s="157"/>
    </row>
    <row r="10" spans="1:6" ht="9.75" customHeight="1" x14ac:dyDescent="0.2">
      <c r="A10" s="8" t="s">
        <v>182</v>
      </c>
      <c r="B10" s="17" t="s">
        <v>51</v>
      </c>
      <c r="C10" s="1"/>
      <c r="D10" s="9" t="s">
        <v>183</v>
      </c>
      <c r="E10" s="9" t="s">
        <v>183</v>
      </c>
      <c r="F10" s="157"/>
    </row>
    <row r="11" spans="1:6" ht="9.75" customHeight="1" x14ac:dyDescent="0.2">
      <c r="A11" s="8" t="s">
        <v>38</v>
      </c>
      <c r="B11" s="17" t="s">
        <v>39</v>
      </c>
      <c r="C11" s="10">
        <v>40</v>
      </c>
      <c r="D11" s="66">
        <v>1949.91</v>
      </c>
      <c r="E11" s="66">
        <f>SUM(E7*0.4)</f>
        <v>779.96400000000006</v>
      </c>
      <c r="F11" s="157"/>
    </row>
    <row r="12" spans="1:6" ht="9.75" customHeight="1" x14ac:dyDescent="0.2">
      <c r="A12" s="8" t="s">
        <v>185</v>
      </c>
      <c r="B12" s="126" t="s">
        <v>171</v>
      </c>
      <c r="C12" s="127">
        <v>1</v>
      </c>
      <c r="D12" s="128">
        <v>24.1</v>
      </c>
      <c r="E12" s="66">
        <f>SUM(C12*D12)</f>
        <v>24.1</v>
      </c>
      <c r="F12" s="157"/>
    </row>
    <row r="13" spans="1:6" ht="9.75" customHeight="1" x14ac:dyDescent="0.2">
      <c r="A13" s="7" t="s">
        <v>40</v>
      </c>
      <c r="B13" s="139"/>
      <c r="C13" s="140"/>
      <c r="D13" s="141"/>
      <c r="E13" s="67">
        <f>SUM(E7+E12)</f>
        <v>1974.01</v>
      </c>
      <c r="F13" s="157"/>
    </row>
    <row r="14" spans="1:6" ht="9.75" customHeight="1" x14ac:dyDescent="0.2">
      <c r="A14" s="8" t="s">
        <v>41</v>
      </c>
      <c r="B14" s="17" t="s">
        <v>39</v>
      </c>
      <c r="C14" s="9" t="s">
        <v>42</v>
      </c>
      <c r="D14" s="66">
        <f>E13</f>
        <v>1974.01</v>
      </c>
      <c r="E14" s="66">
        <v>1949.91</v>
      </c>
      <c r="F14" s="157"/>
    </row>
    <row r="15" spans="1:6" ht="9.75" customHeight="1" x14ac:dyDescent="0.2">
      <c r="A15" s="7" t="s">
        <v>43</v>
      </c>
      <c r="B15" s="139"/>
      <c r="C15" s="140"/>
      <c r="D15" s="141"/>
      <c r="E15" s="67">
        <f>SUM(E13+E14)</f>
        <v>3923.92</v>
      </c>
      <c r="F15" s="157"/>
    </row>
    <row r="16" spans="1:6" ht="9.9499999999999993" customHeight="1" x14ac:dyDescent="0.2">
      <c r="A16" s="8" t="s">
        <v>44</v>
      </c>
      <c r="B16" s="17" t="s">
        <v>45</v>
      </c>
      <c r="C16" s="10">
        <v>6</v>
      </c>
      <c r="D16" s="66">
        <f>E15</f>
        <v>3923.92</v>
      </c>
      <c r="E16" s="66">
        <f>SUM(C16*D16)</f>
        <v>23543.52</v>
      </c>
      <c r="F16" s="158"/>
    </row>
    <row r="17" spans="1:6" ht="10.35" customHeight="1" x14ac:dyDescent="0.2">
      <c r="A17" s="159" t="s">
        <v>46</v>
      </c>
      <c r="B17" s="159"/>
      <c r="C17" s="159"/>
      <c r="D17" s="160"/>
      <c r="E17" s="9" t="s">
        <v>47</v>
      </c>
      <c r="F17" s="65">
        <f>E16</f>
        <v>23543.52</v>
      </c>
    </row>
  </sheetData>
  <mergeCells count="8">
    <mergeCell ref="F7:F16"/>
    <mergeCell ref="B13:D13"/>
    <mergeCell ref="B15:D15"/>
    <mergeCell ref="A17:D17"/>
    <mergeCell ref="A1:F1"/>
    <mergeCell ref="A2:B2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A12" sqref="A12:E12"/>
    </sheetView>
  </sheetViews>
  <sheetFormatPr defaultRowHeight="12.75" x14ac:dyDescent="0.2"/>
  <cols>
    <col min="1" max="1" width="23.6640625" customWidth="1"/>
    <col min="2" max="2" width="9.5" customWidth="1"/>
    <col min="3" max="3" width="8.1640625" customWidth="1"/>
    <col min="4" max="4" width="14.5" customWidth="1"/>
    <col min="5" max="5" width="15.1640625" customWidth="1"/>
    <col min="6" max="6" width="23.1640625" customWidth="1"/>
  </cols>
  <sheetData>
    <row r="1" spans="1:6" ht="16.5" thickBot="1" x14ac:dyDescent="0.3">
      <c r="A1" s="161" t="s">
        <v>165</v>
      </c>
      <c r="B1" s="162"/>
      <c r="C1" s="162"/>
      <c r="D1" s="162"/>
      <c r="E1" s="162"/>
      <c r="F1" s="162"/>
    </row>
    <row r="2" spans="1:6" x14ac:dyDescent="0.2">
      <c r="A2" s="163" t="s">
        <v>166</v>
      </c>
      <c r="B2" s="164"/>
      <c r="C2" s="46"/>
      <c r="D2" s="47"/>
    </row>
    <row r="3" spans="1:6" ht="15" thickBot="1" x14ac:dyDescent="0.25">
      <c r="A3" s="48"/>
      <c r="B3" s="49"/>
      <c r="C3" s="50"/>
      <c r="D3" s="51"/>
    </row>
    <row r="4" spans="1:6" ht="15" thickBot="1" x14ac:dyDescent="0.25">
      <c r="A4" s="48" t="s">
        <v>167</v>
      </c>
      <c r="B4" s="52"/>
      <c r="C4" s="53"/>
      <c r="D4" s="165" t="s">
        <v>168</v>
      </c>
      <c r="E4" s="165"/>
      <c r="F4" s="165"/>
    </row>
    <row r="5" spans="1:6" x14ac:dyDescent="0.2">
      <c r="A5" s="123" t="s">
        <v>177</v>
      </c>
      <c r="B5" s="54"/>
      <c r="C5" s="55"/>
      <c r="D5" s="166" t="s">
        <v>169</v>
      </c>
      <c r="E5" s="166"/>
      <c r="F5" s="167"/>
    </row>
    <row r="6" spans="1:6" ht="9.75" customHeight="1" x14ac:dyDescent="0.2">
      <c r="A6" s="12" t="s">
        <v>30</v>
      </c>
      <c r="B6" s="12" t="s">
        <v>31</v>
      </c>
      <c r="C6" s="13" t="s">
        <v>32</v>
      </c>
      <c r="D6" s="14" t="s">
        <v>33</v>
      </c>
      <c r="E6" s="15" t="s">
        <v>34</v>
      </c>
      <c r="F6" s="16" t="s">
        <v>35</v>
      </c>
    </row>
    <row r="7" spans="1:6" ht="9.75" customHeight="1" x14ac:dyDescent="0.2">
      <c r="A7" s="8" t="s">
        <v>48</v>
      </c>
      <c r="B7" s="17" t="s">
        <v>37</v>
      </c>
      <c r="C7" s="10">
        <v>1</v>
      </c>
      <c r="D7" s="70">
        <v>2213.64</v>
      </c>
      <c r="E7" s="69">
        <f>SUM(C7*D7)</f>
        <v>2213.64</v>
      </c>
      <c r="F7" s="156"/>
    </row>
    <row r="8" spans="1:6" ht="9.75" customHeight="1" x14ac:dyDescent="0.2">
      <c r="A8" s="8" t="s">
        <v>178</v>
      </c>
      <c r="B8" s="17" t="s">
        <v>179</v>
      </c>
      <c r="C8" s="125">
        <v>10</v>
      </c>
      <c r="D8" s="118">
        <f>SUM(D7/220*2)</f>
        <v>20.123999999999999</v>
      </c>
      <c r="E8" s="118">
        <f>SUM(C8*D8)</f>
        <v>201.23999999999998</v>
      </c>
      <c r="F8" s="157"/>
    </row>
    <row r="9" spans="1:6" ht="9.75" customHeight="1" x14ac:dyDescent="0.2">
      <c r="A9" s="8" t="s">
        <v>180</v>
      </c>
      <c r="B9" s="17" t="s">
        <v>179</v>
      </c>
      <c r="C9" s="1"/>
      <c r="D9" s="9"/>
      <c r="E9" s="29" t="s">
        <v>112</v>
      </c>
      <c r="F9" s="157"/>
    </row>
    <row r="10" spans="1:6" ht="9.75" customHeight="1" x14ac:dyDescent="0.2">
      <c r="A10" s="8" t="s">
        <v>182</v>
      </c>
      <c r="B10" s="17" t="s">
        <v>51</v>
      </c>
      <c r="C10" s="1"/>
      <c r="D10" s="9" t="s">
        <v>184</v>
      </c>
      <c r="E10" s="9" t="s">
        <v>184</v>
      </c>
      <c r="F10" s="157"/>
    </row>
    <row r="11" spans="1:6" ht="9.75" customHeight="1" x14ac:dyDescent="0.2">
      <c r="A11" s="8" t="s">
        <v>38</v>
      </c>
      <c r="B11" s="17" t="s">
        <v>39</v>
      </c>
      <c r="C11" s="10">
        <v>40</v>
      </c>
      <c r="D11" s="71">
        <f>D7</f>
        <v>2213.64</v>
      </c>
      <c r="E11" s="71">
        <f>SUM(C11*D11/100)</f>
        <v>885.4559999999999</v>
      </c>
      <c r="F11" s="157"/>
    </row>
    <row r="12" spans="1:6" ht="9.75" customHeight="1" x14ac:dyDescent="0.2">
      <c r="A12" s="8" t="s">
        <v>185</v>
      </c>
      <c r="B12" s="126" t="s">
        <v>171</v>
      </c>
      <c r="C12" s="127">
        <v>1</v>
      </c>
      <c r="D12" s="128">
        <v>24.1</v>
      </c>
      <c r="E12" s="66">
        <f>SUM(C12*D12)</f>
        <v>24.1</v>
      </c>
      <c r="F12" s="157"/>
    </row>
    <row r="13" spans="1:6" ht="9.75" customHeight="1" x14ac:dyDescent="0.2">
      <c r="A13" s="7" t="s">
        <v>40</v>
      </c>
      <c r="B13" s="139"/>
      <c r="C13" s="140"/>
      <c r="D13" s="141"/>
      <c r="E13" s="72">
        <f>SUM(E1:E7)</f>
        <v>2213.64</v>
      </c>
      <c r="F13" s="157"/>
    </row>
    <row r="14" spans="1:6" ht="9.75" customHeight="1" x14ac:dyDescent="0.2">
      <c r="A14" s="8" t="s">
        <v>41</v>
      </c>
      <c r="B14" s="17" t="s">
        <v>39</v>
      </c>
      <c r="C14" s="9" t="s">
        <v>42</v>
      </c>
      <c r="D14" s="71">
        <f>E13</f>
        <v>2213.64</v>
      </c>
      <c r="E14" s="71">
        <f>SUM(C14*D14/100)</f>
        <v>1587.6226079999999</v>
      </c>
      <c r="F14" s="157"/>
    </row>
    <row r="15" spans="1:6" ht="9.75" customHeight="1" x14ac:dyDescent="0.2">
      <c r="A15" s="7" t="s">
        <v>49</v>
      </c>
      <c r="B15" s="139"/>
      <c r="C15" s="140"/>
      <c r="D15" s="141"/>
      <c r="E15" s="72">
        <f>SUM(E13+E14)</f>
        <v>3801.262608</v>
      </c>
      <c r="F15" s="157"/>
    </row>
    <row r="16" spans="1:6" ht="9.9499999999999993" customHeight="1" x14ac:dyDescent="0.2">
      <c r="A16" s="8" t="s">
        <v>44</v>
      </c>
      <c r="B16" s="17" t="s">
        <v>45</v>
      </c>
      <c r="C16" s="10">
        <v>2</v>
      </c>
      <c r="D16" s="71">
        <f>E15</f>
        <v>3801.262608</v>
      </c>
      <c r="E16" s="71">
        <f>SUM(C16*D16)</f>
        <v>7602.525216</v>
      </c>
      <c r="F16" s="158"/>
    </row>
    <row r="17" spans="1:6" ht="9.9499999999999993" customHeight="1" x14ac:dyDescent="0.2">
      <c r="A17" s="159" t="s">
        <v>46</v>
      </c>
      <c r="B17" s="159"/>
      <c r="C17" s="159"/>
      <c r="D17" s="160"/>
      <c r="E17" s="9" t="s">
        <v>47</v>
      </c>
      <c r="F17" s="73">
        <f>E16</f>
        <v>7602.525216</v>
      </c>
    </row>
  </sheetData>
  <mergeCells count="8">
    <mergeCell ref="F7:F16"/>
    <mergeCell ref="B13:D13"/>
    <mergeCell ref="B15:D15"/>
    <mergeCell ref="A17:D17"/>
    <mergeCell ref="A1:F1"/>
    <mergeCell ref="A2:B2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zoomScale="125" zoomScaleNormal="125" workbookViewId="0">
      <selection activeCell="A5" sqref="A5"/>
    </sheetView>
  </sheetViews>
  <sheetFormatPr defaultRowHeight="12.75" x14ac:dyDescent="0.2"/>
  <cols>
    <col min="1" max="1" width="22.83203125" customWidth="1"/>
    <col min="2" max="2" width="11.33203125" customWidth="1"/>
    <col min="3" max="3" width="7.83203125" customWidth="1"/>
    <col min="4" max="4" width="12.83203125" customWidth="1"/>
    <col min="5" max="5" width="15.1640625" customWidth="1"/>
    <col min="6" max="6" width="16.1640625" customWidth="1"/>
  </cols>
  <sheetData>
    <row r="1" spans="1:6" ht="16.5" thickBot="1" x14ac:dyDescent="0.3">
      <c r="A1" s="161" t="s">
        <v>165</v>
      </c>
      <c r="B1" s="162"/>
      <c r="C1" s="162"/>
      <c r="D1" s="162"/>
      <c r="E1" s="162"/>
      <c r="F1" s="162"/>
    </row>
    <row r="2" spans="1:6" x14ac:dyDescent="0.2">
      <c r="A2" s="56" t="s">
        <v>166</v>
      </c>
      <c r="B2" s="57"/>
      <c r="C2" s="46"/>
      <c r="D2" s="47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ht="12" customHeight="1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75" customHeight="1" x14ac:dyDescent="0.2">
      <c r="A6" s="8" t="s">
        <v>50</v>
      </c>
      <c r="B6" s="17" t="s">
        <v>51</v>
      </c>
      <c r="C6" s="19">
        <v>1</v>
      </c>
      <c r="D6" s="76" t="s">
        <v>52</v>
      </c>
      <c r="E6" s="1"/>
      <c r="F6" s="157"/>
    </row>
    <row r="7" spans="1:6" ht="9.75" customHeight="1" x14ac:dyDescent="0.2">
      <c r="A7" s="8" t="s">
        <v>53</v>
      </c>
      <c r="B7" s="17" t="s">
        <v>54</v>
      </c>
      <c r="C7" s="19">
        <v>24</v>
      </c>
      <c r="D7" s="1"/>
      <c r="E7" s="1"/>
      <c r="F7" s="157"/>
    </row>
    <row r="8" spans="1:6" ht="9.75" customHeight="1" x14ac:dyDescent="0.2">
      <c r="A8" s="8" t="s">
        <v>55</v>
      </c>
      <c r="B8" s="17" t="s">
        <v>56</v>
      </c>
      <c r="C8" s="19">
        <v>288</v>
      </c>
      <c r="D8" s="77" t="s">
        <v>57</v>
      </c>
      <c r="E8" s="69">
        <f>SUM(C8*D8)</f>
        <v>1984.32</v>
      </c>
      <c r="F8" s="157"/>
    </row>
    <row r="9" spans="1:6" ht="9.9499999999999993" customHeight="1" x14ac:dyDescent="0.2">
      <c r="A9" s="8" t="s">
        <v>58</v>
      </c>
      <c r="B9" s="17" t="s">
        <v>56</v>
      </c>
      <c r="C9" s="19">
        <v>96</v>
      </c>
      <c r="D9" s="77" t="s">
        <v>59</v>
      </c>
      <c r="E9" s="69">
        <f>SUM(C9*D9)</f>
        <v>601.91999999999996</v>
      </c>
      <c r="F9" s="158"/>
    </row>
    <row r="10" spans="1:6" ht="9.9499999999999993" customHeight="1" x14ac:dyDescent="0.2">
      <c r="A10" s="168"/>
      <c r="B10" s="168"/>
      <c r="C10" s="168"/>
      <c r="D10" s="168"/>
      <c r="E10" s="169"/>
      <c r="F10" s="75">
        <f>SUM(E8+E9)</f>
        <v>2586.2399999999998</v>
      </c>
    </row>
  </sheetData>
  <mergeCells count="6">
    <mergeCell ref="F6:F9"/>
    <mergeCell ref="A10:E10"/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workbookViewId="0">
      <selection activeCell="A5" sqref="A5"/>
    </sheetView>
  </sheetViews>
  <sheetFormatPr defaultRowHeight="12.75" x14ac:dyDescent="0.2"/>
  <cols>
    <col min="1" max="1" width="25.33203125" customWidth="1"/>
    <col min="2" max="2" width="11.83203125" customWidth="1"/>
    <col min="3" max="3" width="11.33203125" customWidth="1"/>
    <col min="4" max="4" width="14.5" customWidth="1"/>
    <col min="5" max="5" width="15.1640625" customWidth="1"/>
    <col min="6" max="6" width="17.83203125" customWidth="1"/>
  </cols>
  <sheetData>
    <row r="1" spans="1:6" ht="16.5" thickBot="1" x14ac:dyDescent="0.3">
      <c r="A1" s="161" t="s">
        <v>165</v>
      </c>
      <c r="B1" s="162"/>
      <c r="C1" s="162"/>
      <c r="D1" s="162"/>
      <c r="E1" s="162"/>
      <c r="F1" s="162"/>
    </row>
    <row r="2" spans="1:6" x14ac:dyDescent="0.2">
      <c r="A2" s="56" t="s">
        <v>166</v>
      </c>
      <c r="B2" s="57"/>
      <c r="C2" s="46"/>
      <c r="D2" s="47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12" t="s">
        <v>30</v>
      </c>
      <c r="B6" s="12" t="s">
        <v>31</v>
      </c>
      <c r="C6" s="13" t="s">
        <v>32</v>
      </c>
      <c r="D6" s="14" t="s">
        <v>33</v>
      </c>
      <c r="E6" s="15" t="s">
        <v>34</v>
      </c>
      <c r="F6" s="16" t="s">
        <v>35</v>
      </c>
    </row>
    <row r="7" spans="1:6" s="82" customFormat="1" ht="9.9499999999999993" customHeight="1" x14ac:dyDescent="0.2">
      <c r="A7" s="174" t="s">
        <v>174</v>
      </c>
      <c r="B7" s="175"/>
      <c r="C7" s="78"/>
      <c r="D7" s="79"/>
      <c r="E7" s="80"/>
      <c r="F7" s="81"/>
    </row>
    <row r="8" spans="1:6" ht="9.75" customHeight="1" x14ac:dyDescent="0.2">
      <c r="A8" s="8" t="s">
        <v>55</v>
      </c>
      <c r="B8" s="17" t="s">
        <v>60</v>
      </c>
      <c r="C8" s="19">
        <v>144</v>
      </c>
      <c r="D8" s="70">
        <v>30</v>
      </c>
      <c r="E8" s="69">
        <f>SUM(C8*D8)</f>
        <v>4320</v>
      </c>
      <c r="F8" s="172"/>
    </row>
    <row r="9" spans="1:6" ht="9.9499999999999993" customHeight="1" x14ac:dyDescent="0.2">
      <c r="A9" s="8" t="s">
        <v>58</v>
      </c>
      <c r="B9" s="17" t="s">
        <v>60</v>
      </c>
      <c r="C9" s="19">
        <v>48</v>
      </c>
      <c r="D9" s="70">
        <v>30</v>
      </c>
      <c r="E9" s="69">
        <f>SUM(C9*D9)</f>
        <v>1440</v>
      </c>
      <c r="F9" s="173"/>
    </row>
    <row r="10" spans="1:6" ht="9.9499999999999993" customHeight="1" x14ac:dyDescent="0.2">
      <c r="A10" s="168"/>
      <c r="B10" s="168"/>
      <c r="C10" s="168"/>
      <c r="D10" s="168"/>
      <c r="E10" s="169"/>
      <c r="F10" s="75">
        <f>SUM(E8+E9)</f>
        <v>5760</v>
      </c>
    </row>
  </sheetData>
  <mergeCells count="7">
    <mergeCell ref="F8:F9"/>
    <mergeCell ref="A10:E10"/>
    <mergeCell ref="A1:F1"/>
    <mergeCell ref="A4:B4"/>
    <mergeCell ref="D4:F4"/>
    <mergeCell ref="D5:F5"/>
    <mergeCell ref="A7:B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"/>
  <sheetViews>
    <sheetView workbookViewId="0">
      <selection activeCell="A17" sqref="A17:E17"/>
    </sheetView>
  </sheetViews>
  <sheetFormatPr defaultRowHeight="12.75" x14ac:dyDescent="0.2"/>
  <cols>
    <col min="1" max="1" width="29.33203125" customWidth="1"/>
    <col min="2" max="2" width="11.1640625" customWidth="1"/>
    <col min="3" max="3" width="8.6640625" customWidth="1"/>
    <col min="4" max="4" width="14.5" customWidth="1"/>
    <col min="5" max="5" width="15.1640625" customWidth="1"/>
    <col min="6" max="6" width="19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20.45" customHeight="1" x14ac:dyDescent="0.2">
      <c r="A6" s="20" t="s">
        <v>30</v>
      </c>
      <c r="B6" s="20" t="s">
        <v>31</v>
      </c>
      <c r="C6" s="21" t="s">
        <v>61</v>
      </c>
      <c r="D6" s="22" t="s">
        <v>33</v>
      </c>
      <c r="E6" s="23" t="s">
        <v>34</v>
      </c>
      <c r="F6" s="24" t="s">
        <v>35</v>
      </c>
    </row>
    <row r="7" spans="1:6" ht="9.75" customHeight="1" x14ac:dyDescent="0.2">
      <c r="A7" s="8" t="s">
        <v>62</v>
      </c>
      <c r="B7" s="17" t="s">
        <v>60</v>
      </c>
      <c r="C7" s="25">
        <v>6</v>
      </c>
      <c r="D7" s="70">
        <v>145</v>
      </c>
      <c r="E7" s="69">
        <f>SUM(D7/C7)</f>
        <v>24.166666666666668</v>
      </c>
      <c r="F7" s="156"/>
    </row>
    <row r="8" spans="1:6" ht="9.75" customHeight="1" x14ac:dyDescent="0.2">
      <c r="A8" s="8" t="s">
        <v>63</v>
      </c>
      <c r="B8" s="17" t="s">
        <v>60</v>
      </c>
      <c r="C8" s="25">
        <v>6</v>
      </c>
      <c r="D8" s="70">
        <v>76</v>
      </c>
      <c r="E8" s="69">
        <f t="shared" ref="E8:E17" si="0">SUM(D8/C8)</f>
        <v>12.666666666666666</v>
      </c>
      <c r="F8" s="157"/>
    </row>
    <row r="9" spans="1:6" ht="9.75" customHeight="1" x14ac:dyDescent="0.2">
      <c r="A9" s="8" t="s">
        <v>64</v>
      </c>
      <c r="B9" s="17" t="s">
        <v>60</v>
      </c>
      <c r="C9" s="25">
        <v>3</v>
      </c>
      <c r="D9" s="70">
        <v>42</v>
      </c>
      <c r="E9" s="69">
        <f t="shared" si="0"/>
        <v>14</v>
      </c>
      <c r="F9" s="157"/>
    </row>
    <row r="10" spans="1:6" ht="9.75" customHeight="1" x14ac:dyDescent="0.2">
      <c r="A10" s="8" t="s">
        <v>65</v>
      </c>
      <c r="B10" s="17" t="s">
        <v>60</v>
      </c>
      <c r="C10" s="25">
        <v>3</v>
      </c>
      <c r="D10" s="70">
        <v>29.9</v>
      </c>
      <c r="E10" s="69">
        <f t="shared" si="0"/>
        <v>9.9666666666666668</v>
      </c>
      <c r="F10" s="157"/>
    </row>
    <row r="11" spans="1:6" ht="10.35" customHeight="1" x14ac:dyDescent="0.2">
      <c r="A11" s="8" t="s">
        <v>66</v>
      </c>
      <c r="B11" s="17" t="s">
        <v>67</v>
      </c>
      <c r="C11" s="25">
        <v>6</v>
      </c>
      <c r="D11" s="70">
        <v>156</v>
      </c>
      <c r="E11" s="69">
        <f t="shared" si="0"/>
        <v>26</v>
      </c>
      <c r="F11" s="157"/>
    </row>
    <row r="12" spans="1:6" ht="9.75" customHeight="1" x14ac:dyDescent="0.2">
      <c r="A12" s="8" t="s">
        <v>68</v>
      </c>
      <c r="B12" s="17" t="s">
        <v>60</v>
      </c>
      <c r="C12" s="25">
        <v>6</v>
      </c>
      <c r="D12" s="70">
        <v>78.900000000000006</v>
      </c>
      <c r="E12" s="69">
        <f t="shared" si="0"/>
        <v>13.15</v>
      </c>
      <c r="F12" s="157"/>
    </row>
    <row r="13" spans="1:6" ht="9.75" customHeight="1" x14ac:dyDescent="0.2">
      <c r="A13" s="8" t="s">
        <v>69</v>
      </c>
      <c r="B13" s="17" t="s">
        <v>67</v>
      </c>
      <c r="C13" s="129">
        <v>0.25</v>
      </c>
      <c r="D13" s="70">
        <v>15.11</v>
      </c>
      <c r="E13" s="69">
        <f t="shared" si="0"/>
        <v>60.44</v>
      </c>
      <c r="F13" s="157"/>
    </row>
    <row r="14" spans="1:6" ht="9.75" customHeight="1" x14ac:dyDescent="0.2">
      <c r="A14" s="8" t="s">
        <v>70</v>
      </c>
      <c r="B14" s="17" t="s">
        <v>71</v>
      </c>
      <c r="C14" s="25">
        <v>1</v>
      </c>
      <c r="D14" s="70">
        <v>25.74</v>
      </c>
      <c r="E14" s="69">
        <f t="shared" si="0"/>
        <v>25.74</v>
      </c>
      <c r="F14" s="157"/>
    </row>
    <row r="15" spans="1:6" ht="9.75" customHeight="1" x14ac:dyDescent="0.2">
      <c r="A15" s="8" t="s">
        <v>186</v>
      </c>
      <c r="B15" s="17" t="s">
        <v>187</v>
      </c>
      <c r="C15" s="25">
        <v>6</v>
      </c>
      <c r="D15" s="70">
        <v>65</v>
      </c>
      <c r="E15" s="69">
        <f t="shared" si="0"/>
        <v>10.833333333333334</v>
      </c>
      <c r="F15" s="157"/>
    </row>
    <row r="16" spans="1:6" ht="9.75" customHeight="1" x14ac:dyDescent="0.2">
      <c r="A16" s="8" t="s">
        <v>72</v>
      </c>
      <c r="B16" s="17" t="s">
        <v>73</v>
      </c>
      <c r="C16" s="25">
        <v>1</v>
      </c>
      <c r="D16" s="70">
        <v>13.25</v>
      </c>
      <c r="E16" s="69">
        <f t="shared" si="0"/>
        <v>13.25</v>
      </c>
      <c r="F16" s="157"/>
    </row>
    <row r="17" spans="1:6" ht="9.75" customHeight="1" x14ac:dyDescent="0.2">
      <c r="A17" s="8" t="s">
        <v>188</v>
      </c>
      <c r="B17" s="17" t="s">
        <v>187</v>
      </c>
      <c r="C17" s="25">
        <v>1</v>
      </c>
      <c r="D17" s="130">
        <v>120</v>
      </c>
      <c r="E17" s="69">
        <f t="shared" si="0"/>
        <v>120</v>
      </c>
      <c r="F17" s="157"/>
    </row>
    <row r="18" spans="1:6" ht="9.9499999999999993" customHeight="1" x14ac:dyDescent="0.2">
      <c r="A18" s="62" t="s">
        <v>176</v>
      </c>
      <c r="B18" s="17" t="s">
        <v>45</v>
      </c>
      <c r="C18" s="25">
        <v>6</v>
      </c>
      <c r="D18" s="69">
        <f>SUM(E7:E17)</f>
        <v>330.21333333333337</v>
      </c>
      <c r="E18" s="69">
        <f>SUM(C18*D18)</f>
        <v>1981.2800000000002</v>
      </c>
      <c r="F18" s="158"/>
    </row>
    <row r="19" spans="1:6" ht="9.9499999999999993" customHeight="1" x14ac:dyDescent="0.2">
      <c r="A19" s="159" t="s">
        <v>46</v>
      </c>
      <c r="B19" s="159"/>
      <c r="C19" s="159"/>
      <c r="D19" s="160"/>
      <c r="E19" s="9" t="s">
        <v>47</v>
      </c>
      <c r="F19" s="83">
        <f>E18</f>
        <v>1981.2800000000002</v>
      </c>
    </row>
  </sheetData>
  <mergeCells count="6">
    <mergeCell ref="F7:F18"/>
    <mergeCell ref="A19:D19"/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workbookViewId="0">
      <selection activeCell="C9" sqref="C9"/>
    </sheetView>
  </sheetViews>
  <sheetFormatPr defaultRowHeight="12.75" x14ac:dyDescent="0.2"/>
  <cols>
    <col min="1" max="1" width="28.6640625" customWidth="1"/>
    <col min="2" max="2" width="11.83203125" customWidth="1"/>
    <col min="3" max="3" width="8.33203125" customWidth="1"/>
    <col min="4" max="4" width="12.1640625" customWidth="1"/>
    <col min="5" max="5" width="15.1640625" customWidth="1"/>
    <col min="6" max="6" width="19.3320312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24" t="s">
        <v>177</v>
      </c>
      <c r="B5" s="111"/>
      <c r="C5" s="55"/>
      <c r="D5" s="166" t="s">
        <v>169</v>
      </c>
      <c r="E5" s="166"/>
      <c r="F5" s="167"/>
    </row>
    <row r="6" spans="1:6" ht="18.2" customHeight="1" x14ac:dyDescent="0.2">
      <c r="A6" s="20" t="s">
        <v>30</v>
      </c>
      <c r="B6" s="20" t="s">
        <v>31</v>
      </c>
      <c r="C6" s="26" t="s">
        <v>74</v>
      </c>
      <c r="D6" s="22" t="s">
        <v>33</v>
      </c>
      <c r="E6" s="23" t="s">
        <v>34</v>
      </c>
      <c r="F6" s="24" t="s">
        <v>35</v>
      </c>
    </row>
    <row r="7" spans="1:6" ht="9.75" customHeight="1" x14ac:dyDescent="0.2">
      <c r="A7" s="8" t="s">
        <v>62</v>
      </c>
      <c r="B7" s="17" t="s">
        <v>60</v>
      </c>
      <c r="C7" s="10">
        <v>6</v>
      </c>
      <c r="D7" s="130">
        <v>145</v>
      </c>
      <c r="E7" s="69">
        <f>SUM(D7/C7)</f>
        <v>24.166666666666668</v>
      </c>
      <c r="F7" s="156"/>
    </row>
    <row r="8" spans="1:6" ht="9.75" customHeight="1" x14ac:dyDescent="0.2">
      <c r="A8" s="8" t="s">
        <v>63</v>
      </c>
      <c r="B8" s="17" t="s">
        <v>60</v>
      </c>
      <c r="C8" s="10">
        <v>6</v>
      </c>
      <c r="D8" s="130">
        <v>76</v>
      </c>
      <c r="E8" s="69">
        <f t="shared" ref="E8:E15" si="0">SUM(D8/C8)</f>
        <v>12.666666666666666</v>
      </c>
      <c r="F8" s="157"/>
    </row>
    <row r="9" spans="1:6" ht="9.75" customHeight="1" x14ac:dyDescent="0.2">
      <c r="A9" s="8" t="s">
        <v>64</v>
      </c>
      <c r="B9" s="17" t="s">
        <v>60</v>
      </c>
      <c r="C9" s="10">
        <v>6</v>
      </c>
      <c r="D9" s="130">
        <v>42</v>
      </c>
      <c r="E9" s="69">
        <f t="shared" si="0"/>
        <v>7</v>
      </c>
      <c r="F9" s="157"/>
    </row>
    <row r="10" spans="1:6" ht="9.75" customHeight="1" x14ac:dyDescent="0.2">
      <c r="A10" s="8" t="s">
        <v>66</v>
      </c>
      <c r="B10" s="17" t="s">
        <v>67</v>
      </c>
      <c r="C10" s="10">
        <v>6</v>
      </c>
      <c r="D10" s="130">
        <v>156</v>
      </c>
      <c r="E10" s="69">
        <f t="shared" si="0"/>
        <v>26</v>
      </c>
      <c r="F10" s="157"/>
    </row>
    <row r="11" spans="1:6" ht="9.75" customHeight="1" x14ac:dyDescent="0.2">
      <c r="A11" s="8" t="s">
        <v>68</v>
      </c>
      <c r="B11" s="17" t="s">
        <v>60</v>
      </c>
      <c r="C11" s="10">
        <v>6</v>
      </c>
      <c r="D11" s="130">
        <v>78.900000000000006</v>
      </c>
      <c r="E11" s="69">
        <f t="shared" si="0"/>
        <v>13.15</v>
      </c>
      <c r="F11" s="157"/>
    </row>
    <row r="12" spans="1:6" ht="9.75" customHeight="1" x14ac:dyDescent="0.2">
      <c r="A12" s="8" t="s">
        <v>70</v>
      </c>
      <c r="B12" s="17" t="s">
        <v>71</v>
      </c>
      <c r="C12" s="10">
        <v>1</v>
      </c>
      <c r="D12" s="130">
        <v>25.74</v>
      </c>
      <c r="E12" s="69">
        <f t="shared" si="0"/>
        <v>25.74</v>
      </c>
      <c r="F12" s="157"/>
    </row>
    <row r="13" spans="1:6" ht="9.75" customHeight="1" x14ac:dyDescent="0.2">
      <c r="A13" s="8" t="s">
        <v>72</v>
      </c>
      <c r="B13" s="17" t="s">
        <v>73</v>
      </c>
      <c r="C13" s="10">
        <v>1</v>
      </c>
      <c r="D13" s="130">
        <v>13.25</v>
      </c>
      <c r="E13" s="69">
        <f t="shared" si="0"/>
        <v>13.25</v>
      </c>
      <c r="F13" s="157"/>
    </row>
    <row r="14" spans="1:6" ht="9.75" customHeight="1" x14ac:dyDescent="0.2">
      <c r="A14" s="8" t="s">
        <v>186</v>
      </c>
      <c r="B14" s="17" t="s">
        <v>187</v>
      </c>
      <c r="C14" s="25">
        <v>6</v>
      </c>
      <c r="D14" s="130">
        <v>65</v>
      </c>
      <c r="E14" s="69">
        <f t="shared" si="0"/>
        <v>10.833333333333334</v>
      </c>
      <c r="F14" s="157"/>
    </row>
    <row r="15" spans="1:6" ht="9.75" customHeight="1" x14ac:dyDescent="0.2">
      <c r="A15" s="8" t="s">
        <v>188</v>
      </c>
      <c r="B15" s="17" t="s">
        <v>187</v>
      </c>
      <c r="C15" s="25">
        <v>1</v>
      </c>
      <c r="D15" s="130">
        <v>30</v>
      </c>
      <c r="E15" s="69">
        <f t="shared" si="0"/>
        <v>30</v>
      </c>
      <c r="F15" s="157"/>
    </row>
    <row r="16" spans="1:6" ht="9.9499999999999993" customHeight="1" x14ac:dyDescent="0.2">
      <c r="A16" s="62" t="s">
        <v>175</v>
      </c>
      <c r="B16" s="17" t="s">
        <v>45</v>
      </c>
      <c r="C16" s="10">
        <v>2</v>
      </c>
      <c r="D16" s="69">
        <f>SUM(E7:E15)</f>
        <v>162.80666666666667</v>
      </c>
      <c r="E16" s="69">
        <f>SUM(C16*D16)</f>
        <v>325.61333333333334</v>
      </c>
      <c r="F16" s="158"/>
    </row>
    <row r="17" spans="1:6" ht="9.9499999999999993" customHeight="1" x14ac:dyDescent="0.2">
      <c r="A17" s="159" t="s">
        <v>46</v>
      </c>
      <c r="B17" s="159"/>
      <c r="C17" s="159"/>
      <c r="D17" s="160"/>
      <c r="E17" s="9" t="s">
        <v>47</v>
      </c>
      <c r="F17" s="84">
        <f>E16</f>
        <v>325.61333333333334</v>
      </c>
    </row>
  </sheetData>
  <mergeCells count="6">
    <mergeCell ref="F7:F16"/>
    <mergeCell ref="A17:D17"/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workbookViewId="0">
      <selection activeCell="F22" sqref="F22"/>
    </sheetView>
  </sheetViews>
  <sheetFormatPr defaultRowHeight="12.75" x14ac:dyDescent="0.2"/>
  <cols>
    <col min="1" max="1" width="31.33203125" customWidth="1"/>
    <col min="2" max="2" width="9.5" customWidth="1"/>
    <col min="3" max="3" width="7.1640625" customWidth="1"/>
    <col min="4" max="4" width="16.33203125" customWidth="1"/>
    <col min="5" max="5" width="15.33203125" customWidth="1"/>
    <col min="6" max="6" width="18.83203125" customWidth="1"/>
  </cols>
  <sheetData>
    <row r="1" spans="1:6" ht="16.5" thickBot="1" x14ac:dyDescent="0.3">
      <c r="A1" s="145" t="s">
        <v>165</v>
      </c>
      <c r="B1" s="146"/>
      <c r="C1" s="146"/>
      <c r="D1" s="146"/>
      <c r="E1" s="146"/>
      <c r="F1" s="147"/>
    </row>
    <row r="2" spans="1:6" x14ac:dyDescent="0.2">
      <c r="A2" s="58" t="s">
        <v>166</v>
      </c>
      <c r="B2" s="38"/>
      <c r="C2" s="39"/>
      <c r="D2" s="59"/>
    </row>
    <row r="3" spans="1:6" ht="15" thickBot="1" x14ac:dyDescent="0.25">
      <c r="A3" s="48"/>
      <c r="B3" s="49"/>
      <c r="C3" s="50"/>
      <c r="D3" s="51"/>
    </row>
    <row r="4" spans="1:6" ht="14.25" x14ac:dyDescent="0.2">
      <c r="A4" s="170" t="s">
        <v>167</v>
      </c>
      <c r="B4" s="171"/>
      <c r="C4" s="53"/>
      <c r="D4" s="165" t="s">
        <v>168</v>
      </c>
      <c r="E4" s="165"/>
      <c r="F4" s="165"/>
    </row>
    <row r="5" spans="1:6" x14ac:dyDescent="0.2">
      <c r="A5" s="110" t="s">
        <v>177</v>
      </c>
      <c r="B5" s="111"/>
      <c r="C5" s="55"/>
      <c r="D5" s="166" t="s">
        <v>169</v>
      </c>
      <c r="E5" s="166"/>
      <c r="F5" s="167"/>
    </row>
    <row r="6" spans="1:6" ht="9.9499999999999993" customHeight="1" x14ac:dyDescent="0.2">
      <c r="A6" s="12" t="s">
        <v>30</v>
      </c>
      <c r="B6" s="12" t="s">
        <v>31</v>
      </c>
      <c r="C6" s="13" t="s">
        <v>32</v>
      </c>
      <c r="D6" s="14" t="s">
        <v>33</v>
      </c>
      <c r="E6" s="15" t="s">
        <v>34</v>
      </c>
      <c r="F6" s="16" t="s">
        <v>35</v>
      </c>
    </row>
    <row r="7" spans="1:6" ht="9.75" customHeight="1" x14ac:dyDescent="0.2">
      <c r="A7" s="8" t="s">
        <v>75</v>
      </c>
      <c r="B7" s="17" t="s">
        <v>60</v>
      </c>
      <c r="C7" s="10">
        <v>1</v>
      </c>
      <c r="D7" s="87">
        <v>550000</v>
      </c>
      <c r="E7" s="66">
        <f>SUM(C7*D7)</f>
        <v>550000</v>
      </c>
      <c r="F7" s="156"/>
    </row>
    <row r="8" spans="1:6" ht="9.75" customHeight="1" x14ac:dyDescent="0.2">
      <c r="A8" s="8" t="s">
        <v>76</v>
      </c>
      <c r="B8" s="17" t="s">
        <v>77</v>
      </c>
      <c r="C8" s="10">
        <v>10</v>
      </c>
      <c r="D8" s="1"/>
      <c r="E8" s="1"/>
      <c r="F8" s="157"/>
    </row>
    <row r="9" spans="1:6" ht="9.75" customHeight="1" x14ac:dyDescent="0.2">
      <c r="A9" s="8" t="s">
        <v>78</v>
      </c>
      <c r="B9" s="17" t="s">
        <v>77</v>
      </c>
      <c r="C9" s="10">
        <v>0</v>
      </c>
      <c r="D9" s="1"/>
      <c r="E9" s="1"/>
      <c r="F9" s="157"/>
    </row>
    <row r="10" spans="1:6" ht="9.75" customHeight="1" x14ac:dyDescent="0.2">
      <c r="A10" s="8" t="s">
        <v>79</v>
      </c>
      <c r="B10" s="17" t="s">
        <v>39</v>
      </c>
      <c r="C10" s="9" t="s">
        <v>80</v>
      </c>
      <c r="D10" s="69">
        <f>E7</f>
        <v>550000</v>
      </c>
      <c r="E10" s="69">
        <f>SUM(D10*65.18/100)</f>
        <v>358490.00000000006</v>
      </c>
      <c r="F10" s="157"/>
    </row>
    <row r="11" spans="1:6" ht="9.9499999999999993" customHeight="1" x14ac:dyDescent="0.2">
      <c r="A11" s="7" t="s">
        <v>81</v>
      </c>
      <c r="B11" s="6" t="s">
        <v>82</v>
      </c>
      <c r="C11" s="11">
        <v>120</v>
      </c>
      <c r="D11" s="86">
        <f>E10</f>
        <v>358490.00000000006</v>
      </c>
      <c r="E11" s="86">
        <f>SUM(D11/C11)</f>
        <v>2987.416666666667</v>
      </c>
      <c r="F11" s="157"/>
    </row>
    <row r="12" spans="1:6" ht="9.9499999999999993" customHeight="1" x14ac:dyDescent="0.2">
      <c r="A12" s="8" t="s">
        <v>83</v>
      </c>
      <c r="B12" s="17" t="s">
        <v>60</v>
      </c>
      <c r="C12" s="10">
        <v>1</v>
      </c>
      <c r="D12" s="70">
        <v>266200</v>
      </c>
      <c r="E12" s="85">
        <f>SUM(C12*D12)</f>
        <v>266200</v>
      </c>
      <c r="F12" s="157"/>
    </row>
    <row r="13" spans="1:6" ht="9.75" customHeight="1" x14ac:dyDescent="0.2">
      <c r="A13" s="8" t="s">
        <v>84</v>
      </c>
      <c r="B13" s="17" t="s">
        <v>77</v>
      </c>
      <c r="C13" s="10">
        <v>10</v>
      </c>
      <c r="D13" s="1"/>
      <c r="E13" s="1"/>
      <c r="F13" s="157"/>
    </row>
    <row r="14" spans="1:6" ht="9.75" customHeight="1" x14ac:dyDescent="0.2">
      <c r="A14" s="8" t="s">
        <v>85</v>
      </c>
      <c r="B14" s="17" t="s">
        <v>77</v>
      </c>
      <c r="C14" s="10">
        <v>0</v>
      </c>
      <c r="D14" s="1"/>
      <c r="E14" s="1"/>
      <c r="F14" s="157"/>
    </row>
    <row r="15" spans="1:6" ht="9.75" customHeight="1" x14ac:dyDescent="0.2">
      <c r="A15" s="8" t="s">
        <v>86</v>
      </c>
      <c r="B15" s="17" t="s">
        <v>39</v>
      </c>
      <c r="C15" s="9" t="s">
        <v>80</v>
      </c>
      <c r="D15" s="88">
        <f>E12</f>
        <v>266200</v>
      </c>
      <c r="E15" s="89">
        <f>SUM(D15*65.18/100)</f>
        <v>173509.16</v>
      </c>
      <c r="F15" s="157"/>
    </row>
    <row r="16" spans="1:6" ht="9.75" customHeight="1" x14ac:dyDescent="0.2">
      <c r="A16" s="7" t="s">
        <v>87</v>
      </c>
      <c r="B16" s="6" t="s">
        <v>82</v>
      </c>
      <c r="C16" s="11">
        <v>120</v>
      </c>
      <c r="D16" s="90">
        <f>E15</f>
        <v>173509.16</v>
      </c>
      <c r="E16" s="90">
        <f>SUM(D16/C16)</f>
        <v>1445.9096666666667</v>
      </c>
      <c r="F16" s="157"/>
    </row>
    <row r="17" spans="1:6" ht="9.75" customHeight="1" x14ac:dyDescent="0.2">
      <c r="A17" s="7" t="s">
        <v>88</v>
      </c>
      <c r="B17" s="139"/>
      <c r="C17" s="140"/>
      <c r="D17" s="141"/>
      <c r="E17" s="72">
        <f>SUM(E11+E16)</f>
        <v>4433.3263333333334</v>
      </c>
      <c r="F17" s="157"/>
    </row>
    <row r="18" spans="1:6" ht="9.9499999999999993" customHeight="1" x14ac:dyDescent="0.2">
      <c r="A18" s="7" t="s">
        <v>89</v>
      </c>
      <c r="B18" s="6" t="s">
        <v>90</v>
      </c>
      <c r="C18" s="10">
        <v>3</v>
      </c>
      <c r="D18" s="72">
        <f>E17</f>
        <v>4433.3263333333334</v>
      </c>
      <c r="E18" s="72">
        <f>SUM(C18*D18)</f>
        <v>13299.978999999999</v>
      </c>
      <c r="F18" s="158"/>
    </row>
    <row r="19" spans="1:6" ht="9.9499999999999993" customHeight="1" x14ac:dyDescent="0.2">
      <c r="A19" s="159" t="s">
        <v>46</v>
      </c>
      <c r="B19" s="159"/>
      <c r="C19" s="159"/>
      <c r="D19" s="160"/>
      <c r="E19" s="9" t="s">
        <v>47</v>
      </c>
      <c r="F19" s="73">
        <f>E18</f>
        <v>13299.978999999999</v>
      </c>
    </row>
    <row r="20" spans="1:6" x14ac:dyDescent="0.2">
      <c r="F20" s="132"/>
    </row>
    <row r="21" spans="1:6" x14ac:dyDescent="0.2">
      <c r="A21" s="133" t="s">
        <v>189</v>
      </c>
      <c r="B21" s="133" t="s">
        <v>190</v>
      </c>
      <c r="C21" s="133">
        <v>10</v>
      </c>
      <c r="D21" s="134">
        <f>SUM(F19)</f>
        <v>13299.978999999999</v>
      </c>
      <c r="E21" s="133"/>
      <c r="F21" s="132">
        <f>SUM(D21*0.1)</f>
        <v>1329.9979000000001</v>
      </c>
    </row>
    <row r="22" spans="1:6" x14ac:dyDescent="0.2">
      <c r="E22" t="s">
        <v>191</v>
      </c>
      <c r="F22" s="132">
        <f>SUM(F19+F21)</f>
        <v>14629.9769</v>
      </c>
    </row>
  </sheetData>
  <mergeCells count="7">
    <mergeCell ref="F7:F18"/>
    <mergeCell ref="B17:D17"/>
    <mergeCell ref="A19:D19"/>
    <mergeCell ref="A1:F1"/>
    <mergeCell ref="A4:B4"/>
    <mergeCell ref="D4:F4"/>
    <mergeCell ref="D5:F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PlanilhaColeta_Anual.R05.xlsx</dc:title>
  <dc:creator>User</dc:creator>
  <cp:lastModifiedBy>alexandre braz</cp:lastModifiedBy>
  <cp:lastPrinted>2025-04-30T12:26:01Z</cp:lastPrinted>
  <dcterms:created xsi:type="dcterms:W3CDTF">2022-10-05T17:52:46Z</dcterms:created>
  <dcterms:modified xsi:type="dcterms:W3CDTF">2025-04-30T17:14:13Z</dcterms:modified>
</cp:coreProperties>
</file>